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Burbuja" sheetId="1" r:id="rId1"/>
    <sheet name="Rocio" sheetId="2" r:id="rId2"/>
  </sheets>
  <definedNames/>
  <calcPr fullCalcOnLoad="1"/>
</workbook>
</file>

<file path=xl/comments1.xml><?xml version="1.0" encoding="utf-8"?>
<comments xmlns="http://schemas.openxmlformats.org/spreadsheetml/2006/main">
  <authors>
    <author>Jean-Marie Ledanois</author>
  </authors>
  <commentList>
    <comment ref="A2" authorId="0">
      <text>
        <r>
          <rPr>
            <b/>
            <sz val="8"/>
            <rFont val="Tahoma"/>
            <family val="0"/>
          </rPr>
          <t>Programa desarrollado por Jean-Marie LEDANOIS (C)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Jean-Marie Ledanois</author>
  </authors>
  <commentList>
    <comment ref="A2" authorId="0">
      <text>
        <r>
          <rPr>
            <b/>
            <sz val="8"/>
            <rFont val="Tahoma"/>
            <family val="0"/>
          </rPr>
          <t>Programa desarrollado por Jean-Marie LEDANOIS (C)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<sst xmlns="http://schemas.openxmlformats.org/spreadsheetml/2006/main" count="420" uniqueCount="50">
  <si>
    <t>Componente</t>
  </si>
  <si>
    <t>P=</t>
  </si>
  <si>
    <t>T=</t>
  </si>
  <si>
    <t>R=</t>
  </si>
  <si>
    <t>Mezcla</t>
  </si>
  <si>
    <r>
      <t>P</t>
    </r>
    <r>
      <rPr>
        <vertAlign val="subscript"/>
        <sz val="10"/>
        <rFont val="Arial"/>
        <family val="2"/>
      </rPr>
      <t>ci</t>
    </r>
    <r>
      <rPr>
        <sz val="10"/>
        <rFont val="Arial"/>
        <family val="2"/>
      </rPr>
      <t xml:space="preserve"> [Pa]</t>
    </r>
  </si>
  <si>
    <r>
      <t>T</t>
    </r>
    <r>
      <rPr>
        <vertAlign val="subscript"/>
        <sz val="10"/>
        <rFont val="Arial"/>
        <family val="2"/>
      </rPr>
      <t>ci</t>
    </r>
    <r>
      <rPr>
        <sz val="10"/>
        <rFont val="Arial"/>
        <family val="2"/>
      </rPr>
      <t xml:space="preserve"> [K]</t>
    </r>
  </si>
  <si>
    <r>
      <t>w</t>
    </r>
    <r>
      <rPr>
        <vertAlign val="subscript"/>
        <sz val="10"/>
        <rFont val="Arial"/>
        <family val="2"/>
      </rPr>
      <t>i</t>
    </r>
  </si>
  <si>
    <t>m</t>
  </si>
  <si>
    <t>J/(mol.K)</t>
  </si>
  <si>
    <r>
      <t>W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=</t>
    </r>
  </si>
  <si>
    <r>
      <t>W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</si>
  <si>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>ci</t>
    </r>
  </si>
  <si>
    <r>
      <t>K</t>
    </r>
    <r>
      <rPr>
        <vertAlign val="subscript"/>
        <sz val="10"/>
        <rFont val="Arial"/>
        <family val="2"/>
      </rPr>
      <t>i,j</t>
    </r>
  </si>
  <si>
    <r>
      <t>A</t>
    </r>
    <r>
      <rPr>
        <vertAlign val="subscript"/>
        <sz val="10"/>
        <rFont val="Arial"/>
        <family val="2"/>
      </rPr>
      <t>i</t>
    </r>
  </si>
  <si>
    <r>
      <t>B</t>
    </r>
    <r>
      <rPr>
        <vertAlign val="subscript"/>
        <sz val="10"/>
        <rFont val="Arial"/>
        <family val="2"/>
      </rPr>
      <t>i</t>
    </r>
  </si>
  <si>
    <t>Líquido</t>
  </si>
  <si>
    <t>Vapor</t>
  </si>
  <si>
    <t>Parámetros dependientes de la presión, la temperatura y la composición</t>
  </si>
  <si>
    <r>
      <t>j</t>
    </r>
    <r>
      <rPr>
        <vertAlign val="subscript"/>
        <sz val="10"/>
        <rFont val="Arial"/>
        <family val="2"/>
      </rPr>
      <t>i</t>
    </r>
  </si>
  <si>
    <r>
      <t>Z</t>
    </r>
    <r>
      <rPr>
        <vertAlign val="superscript"/>
        <sz val="10"/>
        <rFont val="Arial"/>
        <family val="2"/>
      </rPr>
      <t>L</t>
    </r>
  </si>
  <si>
    <r>
      <t>Z</t>
    </r>
    <r>
      <rPr>
        <vertAlign val="superscript"/>
        <sz val="10"/>
        <rFont val="Arial"/>
        <family val="2"/>
      </rPr>
      <t>V</t>
    </r>
  </si>
  <si>
    <r>
      <t>x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=z</t>
    </r>
    <r>
      <rPr>
        <vertAlign val="subscript"/>
        <sz val="10"/>
        <rFont val="Arial"/>
        <family val="2"/>
      </rPr>
      <t>i</t>
    </r>
  </si>
  <si>
    <r>
      <t>a</t>
    </r>
    <r>
      <rPr>
        <vertAlign val="subscript"/>
        <sz val="10"/>
        <rFont val="Arial"/>
        <family val="2"/>
      </rPr>
      <t>i</t>
    </r>
  </si>
  <si>
    <r>
      <t>y*</t>
    </r>
    <r>
      <rPr>
        <vertAlign val="subscript"/>
        <sz val="10"/>
        <rFont val="Arial"/>
        <family val="2"/>
      </rPr>
      <t>i</t>
    </r>
  </si>
  <si>
    <r>
      <t>y</t>
    </r>
    <r>
      <rPr>
        <vertAlign val="subscript"/>
        <sz val="10"/>
        <rFont val="Arial"/>
        <family val="2"/>
      </rPr>
      <t>i</t>
    </r>
  </si>
  <si>
    <r>
      <t>K</t>
    </r>
    <r>
      <rPr>
        <vertAlign val="subscript"/>
        <sz val="10"/>
        <rFont val="Arial"/>
        <family val="2"/>
      </rPr>
      <t>i</t>
    </r>
  </si>
  <si>
    <t>Propano</t>
  </si>
  <si>
    <t>P</t>
  </si>
  <si>
    <r>
      <t>P</t>
    </r>
    <r>
      <rPr>
        <vertAlign val="superscript"/>
        <sz val="10"/>
        <rFont val="Arial"/>
        <family val="2"/>
      </rPr>
      <t>sat</t>
    </r>
  </si>
  <si>
    <t>i-Pentano</t>
  </si>
  <si>
    <t>n-Pentano</t>
  </si>
  <si>
    <t>i-Butano</t>
  </si>
  <si>
    <t>n-Butano</t>
  </si>
  <si>
    <t>Metano</t>
  </si>
  <si>
    <t>Etano</t>
  </si>
  <si>
    <r>
      <t>y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=z</t>
    </r>
    <r>
      <rPr>
        <vertAlign val="subscript"/>
        <sz val="10"/>
        <rFont val="Arial"/>
        <family val="2"/>
      </rPr>
      <t>i</t>
    </r>
  </si>
  <si>
    <r>
      <t>x*</t>
    </r>
    <r>
      <rPr>
        <vertAlign val="subscript"/>
        <sz val="10"/>
        <rFont val="Arial"/>
        <family val="2"/>
      </rPr>
      <t>i</t>
    </r>
  </si>
  <si>
    <r>
      <t>x</t>
    </r>
    <r>
      <rPr>
        <vertAlign val="subscript"/>
        <sz val="10"/>
        <rFont val="Arial"/>
        <family val="2"/>
      </rPr>
      <t>i</t>
    </r>
  </si>
  <si>
    <t>Pauto</t>
  </si>
  <si>
    <t>Tauto</t>
  </si>
  <si>
    <r>
      <t>S</t>
    </r>
    <r>
      <rPr>
        <sz val="10"/>
        <rFont val="Arial"/>
        <family val="2"/>
      </rPr>
      <t>y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=</t>
    </r>
  </si>
  <si>
    <t>Equilibrio de hidrocarburos por el método de Soave-Redlick-Kwong</t>
  </si>
  <si>
    <t>Versión 1.1 (Marzo 2008)</t>
  </si>
  <si>
    <t xml:space="preserve">"nmnnhkkkbb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</si>
  <si>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</si>
  <si>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Cálculo del punto de rocío por el método de Soave-Redlich-Kwong para ambas fases</t>
  </si>
  <si>
    <t>Cálculo del punto de burbuja por el método de  Soave-Redlich-Kwong para ambas fases</t>
  </si>
  <si>
    <r>
      <t>a</t>
    </r>
    <r>
      <rPr>
        <vertAlign val="subscript"/>
        <sz val="10"/>
        <rFont val="Symbol"/>
        <family val="1"/>
      </rPr>
      <t>i</t>
    </r>
  </si>
  <si>
    <r>
      <t>b</t>
    </r>
    <r>
      <rPr>
        <vertAlign val="subscript"/>
        <sz val="10"/>
        <rFont val="Arial"/>
        <family val="2"/>
      </rPr>
      <t>ci</t>
    </r>
  </si>
</sst>
</file>

<file path=xl/styles.xml><?xml version="1.0" encoding="utf-8"?>
<styleSheet xmlns="http://schemas.openxmlformats.org/spreadsheetml/2006/main">
  <numFmts count="38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"/>
    <numFmt numFmtId="180" formatCode="0.000"/>
    <numFmt numFmtId="181" formatCode="0.000E+00"/>
    <numFmt numFmtId="182" formatCode="0.0000E+00"/>
    <numFmt numFmtId="183" formatCode="0.00000E+00"/>
    <numFmt numFmtId="184" formatCode="0.0E+00"/>
    <numFmt numFmtId="185" formatCode="0.000000E+00"/>
    <numFmt numFmtId="186" formatCode="0.0000000E+00"/>
    <numFmt numFmtId="187" formatCode="0.00000000000"/>
    <numFmt numFmtId="188" formatCode="0.000000000000"/>
    <numFmt numFmtId="189" formatCode="0.0000000000000000"/>
    <numFmt numFmtId="190" formatCode="0.00000000000000000"/>
    <numFmt numFmtId="191" formatCode="0.000000000000000"/>
    <numFmt numFmtId="192" formatCode="0.00000000000000"/>
    <numFmt numFmtId="193" formatCode="0.0000000000000"/>
  </numFmts>
  <fonts count="49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vertAlign val="subscript"/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1" fontId="9" fillId="0" borderId="0" xfId="0" applyNumberFormat="1" applyFont="1" applyAlignment="1">
      <alignment horizontal="center"/>
    </xf>
    <xf numFmtId="182" fontId="0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" fontId="9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82" fontId="0" fillId="0" borderId="0" xfId="0" applyNumberFormat="1" applyFont="1" applyBorder="1" applyAlignment="1">
      <alignment horizontal="center"/>
    </xf>
    <xf numFmtId="182" fontId="0" fillId="0" borderId="17" xfId="0" applyNumberFormat="1" applyFont="1" applyBorder="1" applyAlignment="1">
      <alignment horizontal="center"/>
    </xf>
    <xf numFmtId="183" fontId="0" fillId="0" borderId="17" xfId="0" applyNumberFormat="1" applyFont="1" applyBorder="1" applyAlignment="1">
      <alignment horizontal="center"/>
    </xf>
    <xf numFmtId="182" fontId="0" fillId="0" borderId="12" xfId="0" applyNumberFormat="1" applyFont="1" applyBorder="1" applyAlignment="1">
      <alignment horizontal="center"/>
    </xf>
    <xf numFmtId="18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1" fontId="0" fillId="0" borderId="0" xfId="0" applyNumberFormat="1" applyFont="1" applyAlignment="1">
      <alignment horizontal="center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176" fontId="0" fillId="33" borderId="10" xfId="0" applyNumberFormat="1" applyFont="1" applyFill="1" applyBorder="1" applyAlignment="1">
      <alignment horizontal="center"/>
    </xf>
    <xf numFmtId="176" fontId="0" fillId="33" borderId="11" xfId="0" applyNumberFormat="1" applyFont="1" applyFill="1" applyBorder="1" applyAlignment="1">
      <alignment horizontal="center"/>
    </xf>
    <xf numFmtId="176" fontId="0" fillId="33" borderId="0" xfId="0" applyNumberFormat="1" applyFont="1" applyFill="1" applyBorder="1" applyAlignment="1">
      <alignment horizontal="center"/>
    </xf>
    <xf numFmtId="176" fontId="0" fillId="33" borderId="17" xfId="0" applyNumberFormat="1" applyFont="1" applyFill="1" applyBorder="1" applyAlignment="1">
      <alignment horizontal="center"/>
    </xf>
    <xf numFmtId="176" fontId="0" fillId="33" borderId="12" xfId="0" applyNumberFormat="1" applyFont="1" applyFill="1" applyBorder="1" applyAlignment="1">
      <alignment horizontal="center"/>
    </xf>
    <xf numFmtId="176" fontId="0" fillId="33" borderId="18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88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33" borderId="13" xfId="0" applyFont="1" applyFill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 horizontal="center"/>
      <protection locked="0"/>
    </xf>
    <xf numFmtId="172" fontId="0" fillId="33" borderId="15" xfId="0" applyNumberFormat="1" applyFont="1" applyFill="1" applyBorder="1" applyAlignment="1">
      <alignment horizontal="center"/>
    </xf>
    <xf numFmtId="193" fontId="0" fillId="0" borderId="0" xfId="0" applyNumberFormat="1" applyAlignment="1">
      <alignment/>
    </xf>
    <xf numFmtId="11" fontId="9" fillId="0" borderId="14" xfId="0" applyNumberFormat="1" applyFont="1" applyBorder="1" applyAlignment="1">
      <alignment horizontal="center"/>
    </xf>
    <xf numFmtId="11" fontId="9" fillId="0" borderId="0" xfId="0" applyNumberFormat="1" applyFont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182" fontId="0" fillId="33" borderId="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0" fillId="34" borderId="13" xfId="0" applyFont="1" applyFill="1" applyBorder="1" applyAlignment="1" applyProtection="1">
      <alignment horizontal="center"/>
      <protection locked="0"/>
    </xf>
    <xf numFmtId="176" fontId="0" fillId="34" borderId="10" xfId="0" applyNumberFormat="1" applyFont="1" applyFill="1" applyBorder="1" applyAlignment="1">
      <alignment horizontal="center"/>
    </xf>
    <xf numFmtId="176" fontId="0" fillId="34" borderId="11" xfId="0" applyNumberFormat="1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14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>
      <alignment horizontal="center"/>
    </xf>
    <xf numFmtId="176" fontId="0" fillId="34" borderId="0" xfId="0" applyNumberFormat="1" applyFont="1" applyFill="1" applyBorder="1" applyAlignment="1">
      <alignment horizontal="center"/>
    </xf>
    <xf numFmtId="176" fontId="0" fillId="34" borderId="17" xfId="0" applyNumberFormat="1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0" fillId="34" borderId="15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>
      <alignment horizontal="center"/>
    </xf>
    <xf numFmtId="176" fontId="0" fillId="34" borderId="12" xfId="0" applyNumberFormat="1" applyFont="1" applyFill="1" applyBorder="1" applyAlignment="1">
      <alignment horizontal="center"/>
    </xf>
    <xf numFmtId="176" fontId="0" fillId="34" borderId="18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9" fillId="34" borderId="13" xfId="0" applyFont="1" applyFill="1" applyBorder="1" applyAlignment="1" applyProtection="1">
      <alignment horizontal="center"/>
      <protection locked="0"/>
    </xf>
    <xf numFmtId="0" fontId="9" fillId="34" borderId="14" xfId="0" applyFont="1" applyFill="1" applyBorder="1" applyAlignment="1" applyProtection="1">
      <alignment horizontal="center"/>
      <protection locked="0"/>
    </xf>
    <xf numFmtId="2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4</xdr:row>
      <xdr:rowOff>180975</xdr:rowOff>
    </xdr:from>
    <xdr:to>
      <xdr:col>7</xdr:col>
      <xdr:colOff>942975</xdr:colOff>
      <xdr:row>7</xdr:row>
      <xdr:rowOff>9525</xdr:rowOff>
    </xdr:to>
    <xdr:pic>
      <xdr:nvPicPr>
        <xdr:cNvPr id="1" name="LoadConstan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942975"/>
          <a:ext cx="2886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164"/>
  <sheetViews>
    <sheetView tabSelected="1" zoomScalePageLayoutView="0" workbookViewId="0" topLeftCell="A2">
      <selection activeCell="N11" sqref="N11"/>
    </sheetView>
  </sheetViews>
  <sheetFormatPr defaultColWidth="9.140625" defaultRowHeight="15" customHeight="1"/>
  <cols>
    <col min="1" max="1" width="12.57421875" style="1" customWidth="1"/>
    <col min="2" max="2" width="15.57421875" style="1" customWidth="1"/>
    <col min="3" max="35" width="14.7109375" style="1" customWidth="1"/>
    <col min="36" max="16384" width="9.140625" style="1" customWidth="1"/>
  </cols>
  <sheetData>
    <row r="1" spans="1:17" ht="15" customHeight="1">
      <c r="A1" s="2" t="s">
        <v>42</v>
      </c>
      <c r="M1"/>
      <c r="N1"/>
      <c r="O1"/>
      <c r="P1"/>
      <c r="Q1"/>
    </row>
    <row r="2" spans="1:17" ht="15" customHeight="1">
      <c r="A2" s="3"/>
      <c r="F2"/>
      <c r="G2"/>
      <c r="H2"/>
      <c r="I2"/>
      <c r="J2"/>
      <c r="K2"/>
      <c r="L2"/>
      <c r="M2"/>
      <c r="N2"/>
      <c r="O2"/>
      <c r="P2"/>
      <c r="Q2"/>
    </row>
    <row r="3" spans="1:17" ht="15" customHeight="1">
      <c r="A3" s="3" t="s">
        <v>43</v>
      </c>
      <c r="F3"/>
      <c r="G3"/>
      <c r="H3"/>
      <c r="I3"/>
      <c r="J3"/>
      <c r="K3"/>
      <c r="L3"/>
      <c r="M3"/>
      <c r="N3"/>
      <c r="O3"/>
      <c r="P3"/>
      <c r="Q3"/>
    </row>
    <row r="4" spans="1:17" ht="15" customHeight="1">
      <c r="A4" s="3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5" customHeight="1">
      <c r="A5" s="3" t="s">
        <v>47</v>
      </c>
      <c r="F5"/>
      <c r="G5"/>
      <c r="H5"/>
      <c r="I5"/>
      <c r="J5"/>
      <c r="K5"/>
      <c r="L5"/>
      <c r="M5"/>
      <c r="N5"/>
      <c r="O5"/>
      <c r="P5"/>
      <c r="Q5"/>
    </row>
    <row r="6" spans="6:17" s="3" customFormat="1" ht="15" customHeight="1">
      <c r="F6"/>
      <c r="G6"/>
      <c r="H6"/>
      <c r="I6"/>
      <c r="J6"/>
      <c r="K6"/>
      <c r="L6"/>
      <c r="M6"/>
      <c r="N6"/>
      <c r="O6"/>
      <c r="P6"/>
      <c r="Q6"/>
    </row>
    <row r="7" spans="1:17" s="3" customFormat="1" ht="15" customHeight="1">
      <c r="A7" s="6" t="s">
        <v>3</v>
      </c>
      <c r="B7" s="4">
        <v>8.31451</v>
      </c>
      <c r="C7" s="4" t="s">
        <v>9</v>
      </c>
      <c r="F7"/>
      <c r="G7"/>
      <c r="H7"/>
      <c r="I7"/>
      <c r="J7"/>
      <c r="K7"/>
      <c r="L7"/>
      <c r="M7"/>
      <c r="N7"/>
      <c r="O7"/>
      <c r="P7"/>
      <c r="Q7"/>
    </row>
    <row r="8" spans="1:17" s="3" customFormat="1" ht="15" customHeight="1">
      <c r="A8" s="9" t="s">
        <v>10</v>
      </c>
      <c r="B8" s="82">
        <v>0.427480233540341</v>
      </c>
      <c r="D8"/>
      <c r="E8" s="63"/>
      <c r="M8"/>
      <c r="N8"/>
      <c r="O8"/>
      <c r="P8"/>
      <c r="Q8"/>
    </row>
    <row r="9" spans="1:17" s="3" customFormat="1" ht="15" customHeight="1" thickBot="1">
      <c r="A9" s="9" t="s">
        <v>11</v>
      </c>
      <c r="B9" s="82">
        <f>(2^(1/3)-1)/3</f>
        <v>0.08664034996495773</v>
      </c>
      <c r="D9" s="64"/>
      <c r="E9" s="63"/>
      <c r="M9"/>
      <c r="N9"/>
      <c r="O9"/>
      <c r="P9"/>
      <c r="Q9"/>
    </row>
    <row r="10" spans="5:17" s="3" customFormat="1" ht="15" customHeight="1" thickBot="1">
      <c r="E10" s="28" t="s">
        <v>13</v>
      </c>
      <c r="F10" s="71"/>
      <c r="G10" s="71"/>
      <c r="H10" s="71"/>
      <c r="I10" s="71"/>
      <c r="J10" s="71"/>
      <c r="K10" s="72"/>
      <c r="O10"/>
      <c r="P10"/>
      <c r="Q10"/>
    </row>
    <row r="11" spans="1:17" s="3" customFormat="1" ht="15" customHeight="1" thickBot="1">
      <c r="A11" s="19" t="s">
        <v>0</v>
      </c>
      <c r="B11" s="11" t="s">
        <v>5</v>
      </c>
      <c r="C11" s="11" t="s">
        <v>6</v>
      </c>
      <c r="D11" s="12" t="s">
        <v>7</v>
      </c>
      <c r="E11" s="52" t="str">
        <f>A12</f>
        <v>Metano</v>
      </c>
      <c r="F11" s="29" t="str">
        <f>A13</f>
        <v>Etano</v>
      </c>
      <c r="G11" s="29" t="str">
        <f>A14</f>
        <v>Propano</v>
      </c>
      <c r="H11" s="29" t="str">
        <f>A15</f>
        <v>i-Butano</v>
      </c>
      <c r="I11" s="29" t="str">
        <f>A16</f>
        <v>n-Butano</v>
      </c>
      <c r="J11" s="29" t="str">
        <f>A17</f>
        <v>i-Pentano</v>
      </c>
      <c r="K11" s="30" t="str">
        <f>A18</f>
        <v>n-Pentano</v>
      </c>
      <c r="L11" s="28" t="s">
        <v>8</v>
      </c>
      <c r="M11" s="29" t="s">
        <v>12</v>
      </c>
      <c r="N11" s="30" t="s">
        <v>49</v>
      </c>
      <c r="O11"/>
      <c r="P11"/>
      <c r="Q11"/>
    </row>
    <row r="12" spans="1:17" s="3" customFormat="1" ht="15" customHeight="1">
      <c r="A12" s="73" t="s">
        <v>34</v>
      </c>
      <c r="B12" s="15">
        <v>4599000</v>
      </c>
      <c r="C12" s="16">
        <v>190.564</v>
      </c>
      <c r="D12" s="16">
        <v>0.01155</v>
      </c>
      <c r="E12" s="54">
        <v>0</v>
      </c>
      <c r="F12" s="4">
        <f>E13</f>
        <v>-0.0078</v>
      </c>
      <c r="G12" s="4">
        <f>E14</f>
        <v>0.009</v>
      </c>
      <c r="H12" s="55">
        <f>E15</f>
        <v>0.0241</v>
      </c>
      <c r="I12" s="55">
        <f>E16</f>
        <v>0.0056</v>
      </c>
      <c r="J12" s="55">
        <f>E17</f>
        <v>-0.0078</v>
      </c>
      <c r="K12" s="56">
        <f>E18</f>
        <v>0.019</v>
      </c>
      <c r="L12" s="20">
        <f aca="true" t="shared" si="0" ref="L12:L18">mSRK(D12)</f>
        <v>0.49815622115999997</v>
      </c>
      <c r="M12" s="23">
        <f aca="true" t="shared" si="1" ref="M12:M18">$B$8*$B$7*$B$7*C12*C12/B12</f>
        <v>0.23334992670137433</v>
      </c>
      <c r="N12" s="24">
        <f aca="true" t="shared" si="2" ref="N12:N18">$B$9*$B$7*C12/B12</f>
        <v>2.9849310831756098E-05</v>
      </c>
      <c r="O12"/>
      <c r="P12"/>
      <c r="Q12"/>
    </row>
    <row r="13" spans="1:17" s="3" customFormat="1" ht="15" customHeight="1">
      <c r="A13" s="74" t="s">
        <v>35</v>
      </c>
      <c r="B13" s="17">
        <v>4872000</v>
      </c>
      <c r="C13" s="13">
        <v>305.32</v>
      </c>
      <c r="D13" s="13">
        <v>0.09949</v>
      </c>
      <c r="E13" s="83">
        <v>-0.0078</v>
      </c>
      <c r="F13" s="57">
        <v>0</v>
      </c>
      <c r="G13" s="4">
        <f>F14</f>
        <v>-0.0022</v>
      </c>
      <c r="H13" s="57">
        <f>F15</f>
        <v>-0.01</v>
      </c>
      <c r="I13" s="57">
        <f>F16</f>
        <v>0.0067</v>
      </c>
      <c r="J13" s="57">
        <f>F17</f>
        <v>0</v>
      </c>
      <c r="K13" s="58">
        <f>F18</f>
        <v>0.0056</v>
      </c>
      <c r="L13" s="20">
        <f t="shared" si="0"/>
        <v>0.6348551662224</v>
      </c>
      <c r="M13" s="23">
        <f t="shared" si="1"/>
        <v>0.5654478872979225</v>
      </c>
      <c r="N13" s="24">
        <f t="shared" si="2"/>
        <v>4.514449839800037E-05</v>
      </c>
      <c r="O13"/>
      <c r="P13"/>
      <c r="Q13"/>
    </row>
    <row r="14" spans="1:17" s="3" customFormat="1" ht="15" customHeight="1">
      <c r="A14" s="74" t="s">
        <v>27</v>
      </c>
      <c r="B14" s="17">
        <v>4248000</v>
      </c>
      <c r="C14" s="13">
        <v>369.83</v>
      </c>
      <c r="D14" s="13">
        <v>0.15229</v>
      </c>
      <c r="E14" s="83">
        <v>0.009</v>
      </c>
      <c r="F14" s="84">
        <v>-0.0022</v>
      </c>
      <c r="G14" s="57">
        <v>0</v>
      </c>
      <c r="H14" s="57">
        <f>G15</f>
        <v>-0.01</v>
      </c>
      <c r="I14" s="57">
        <f>G16</f>
        <v>0</v>
      </c>
      <c r="J14" s="57">
        <f>G17</f>
        <v>0.0078</v>
      </c>
      <c r="K14" s="58">
        <f>G18</f>
        <v>0.0233</v>
      </c>
      <c r="L14" s="20">
        <f t="shared" si="0"/>
        <v>0.7156226250384</v>
      </c>
      <c r="M14" s="23">
        <f t="shared" si="1"/>
        <v>0.9515007279469047</v>
      </c>
      <c r="N14" s="24">
        <f t="shared" si="2"/>
        <v>6.271544198203631E-05</v>
      </c>
      <c r="O14"/>
      <c r="P14"/>
      <c r="Q14"/>
    </row>
    <row r="15" spans="1:17" s="3" customFormat="1" ht="15" customHeight="1">
      <c r="A15" s="74" t="s">
        <v>32</v>
      </c>
      <c r="B15" s="17">
        <v>3648000</v>
      </c>
      <c r="C15" s="13">
        <v>408.14</v>
      </c>
      <c r="D15" s="13">
        <v>0.18077</v>
      </c>
      <c r="E15" s="53">
        <v>0.0241</v>
      </c>
      <c r="F15" s="84">
        <v>-0.01</v>
      </c>
      <c r="G15" s="84">
        <v>-0.01</v>
      </c>
      <c r="H15" s="57">
        <v>0</v>
      </c>
      <c r="I15" s="57">
        <f>H16</f>
        <v>0.0011</v>
      </c>
      <c r="J15" s="57">
        <f>H17</f>
        <v>0</v>
      </c>
      <c r="K15" s="58">
        <f>H18</f>
        <v>0</v>
      </c>
      <c r="L15" s="20">
        <f t="shared" si="0"/>
        <v>0.7587806884496</v>
      </c>
      <c r="M15" s="23">
        <f t="shared" si="1"/>
        <v>1.3494377293925086</v>
      </c>
      <c r="N15" s="24">
        <f t="shared" si="2"/>
        <v>8.059557319413915E-05</v>
      </c>
      <c r="O15"/>
      <c r="P15"/>
      <c r="Q15"/>
    </row>
    <row r="16" spans="1:14" s="3" customFormat="1" ht="15" customHeight="1">
      <c r="A16" s="74" t="s">
        <v>33</v>
      </c>
      <c r="B16" s="17">
        <v>3796000</v>
      </c>
      <c r="C16" s="13">
        <v>425.12</v>
      </c>
      <c r="D16" s="13">
        <v>0.20016</v>
      </c>
      <c r="E16" s="83">
        <v>0.0056</v>
      </c>
      <c r="F16" s="84">
        <v>0.0067</v>
      </c>
      <c r="G16" s="59">
        <v>0</v>
      </c>
      <c r="H16" s="59">
        <v>0.0011</v>
      </c>
      <c r="I16" s="57">
        <v>0</v>
      </c>
      <c r="J16" s="57">
        <f>I17</f>
        <v>0</v>
      </c>
      <c r="K16" s="58">
        <f>I18</f>
        <v>0.0204</v>
      </c>
      <c r="L16" s="20">
        <f t="shared" si="0"/>
        <v>0.7880005714944</v>
      </c>
      <c r="M16" s="23">
        <f t="shared" si="1"/>
        <v>1.4069745063737067</v>
      </c>
      <c r="N16" s="24">
        <f t="shared" si="2"/>
        <v>8.067559760966208E-05</v>
      </c>
    </row>
    <row r="17" spans="1:14" s="3" customFormat="1" ht="15" customHeight="1">
      <c r="A17" s="74" t="s">
        <v>30</v>
      </c>
      <c r="B17" s="17">
        <v>3381000</v>
      </c>
      <c r="C17" s="13">
        <v>460.43</v>
      </c>
      <c r="D17" s="13">
        <v>0.22746</v>
      </c>
      <c r="E17" s="83">
        <v>-0.0078</v>
      </c>
      <c r="F17" s="84">
        <v>0</v>
      </c>
      <c r="G17" s="84">
        <v>0.0078</v>
      </c>
      <c r="H17" s="59">
        <v>0</v>
      </c>
      <c r="I17" s="59">
        <v>0</v>
      </c>
      <c r="J17" s="57">
        <v>0</v>
      </c>
      <c r="K17" s="58">
        <f>J18</f>
        <v>0</v>
      </c>
      <c r="L17" s="20">
        <f t="shared" si="0"/>
        <v>0.8289161429184</v>
      </c>
      <c r="M17" s="23">
        <f t="shared" si="1"/>
        <v>1.852982906961266</v>
      </c>
      <c r="N17" s="25">
        <f t="shared" si="2"/>
        <v>9.810142142272854E-05</v>
      </c>
    </row>
    <row r="18" spans="1:14" s="3" customFormat="1" ht="15" customHeight="1" thickBot="1">
      <c r="A18" s="75" t="s">
        <v>31</v>
      </c>
      <c r="B18" s="18">
        <v>3370000</v>
      </c>
      <c r="C18" s="14">
        <v>469.7</v>
      </c>
      <c r="D18" s="14">
        <v>0.25151</v>
      </c>
      <c r="E18" s="60">
        <v>0.019</v>
      </c>
      <c r="F18" s="61">
        <v>0.0056</v>
      </c>
      <c r="G18" s="61">
        <v>0.0233</v>
      </c>
      <c r="H18" s="61">
        <v>0</v>
      </c>
      <c r="I18" s="61">
        <v>0.0204</v>
      </c>
      <c r="J18" s="61">
        <v>0</v>
      </c>
      <c r="K18" s="62">
        <v>0</v>
      </c>
      <c r="L18" s="21">
        <f t="shared" si="0"/>
        <v>0.8647434587024</v>
      </c>
      <c r="M18" s="26">
        <f t="shared" si="1"/>
        <v>1.9346418467999131</v>
      </c>
      <c r="N18" s="27">
        <f t="shared" si="2"/>
        <v>0.00010040319133267062</v>
      </c>
    </row>
    <row r="19" spans="2:7" s="3" customFormat="1" ht="15" customHeight="1" thickBot="1">
      <c r="B19" s="7"/>
      <c r="C19" s="5"/>
      <c r="D19" s="5"/>
      <c r="E19" s="5"/>
      <c r="F19" s="4"/>
      <c r="G19" s="8"/>
    </row>
    <row r="20" spans="1:12" s="3" customFormat="1" ht="15" customHeight="1" thickBot="1">
      <c r="A20" s="3" t="s">
        <v>18</v>
      </c>
      <c r="G20" s="114" t="s">
        <v>28</v>
      </c>
      <c r="H20" s="115" t="s">
        <v>29</v>
      </c>
      <c r="I20" s="116" t="s">
        <v>26</v>
      </c>
      <c r="L20" s="78">
        <f>SUM(L21:L27)</f>
        <v>500</v>
      </c>
    </row>
    <row r="21" spans="2:13" s="3" customFormat="1" ht="15" customHeight="1">
      <c r="B21" s="4"/>
      <c r="C21" s="4"/>
      <c r="D21" s="111"/>
      <c r="E21" s="3" t="e">
        <f>KBubblePTSRK($B$26,B$27,B$31:B$37,J21)</f>
        <v>#VALUE!</v>
      </c>
      <c r="F21" s="3">
        <f>H157</f>
        <v>9.433279921752343</v>
      </c>
      <c r="G21" s="112">
        <f>B26</f>
        <v>1624273.4665078016</v>
      </c>
      <c r="H21" s="65">
        <f>psatgeneralizada(B$27,C12,B12,D12)</f>
        <v>33393604.490189888</v>
      </c>
      <c r="I21" s="66">
        <f>H21/$G$21</f>
        <v>20.559102379469607</v>
      </c>
      <c r="J21" s="3">
        <v>1</v>
      </c>
      <c r="K21" s="77">
        <v>1</v>
      </c>
      <c r="L21" s="3">
        <v>20</v>
      </c>
      <c r="M21" s="3">
        <f>L21/$L$20</f>
        <v>0.04</v>
      </c>
    </row>
    <row r="22" spans="2:13" s="3" customFormat="1" ht="15" customHeight="1">
      <c r="B22" s="4"/>
      <c r="C22" s="113"/>
      <c r="D22" s="4"/>
      <c r="E22" s="3" t="e">
        <f aca="true" t="shared" si="3" ref="E22:E27">KBubblePTSRK($B$26,B$27,B$31:B$37,J22)</f>
        <v>#VALUE!</v>
      </c>
      <c r="F22" s="3">
        <f aca="true" t="shared" si="4" ref="F22:F27">H158</f>
        <v>2.050831453323729</v>
      </c>
      <c r="G22" s="20"/>
      <c r="H22" s="67">
        <f aca="true" t="shared" si="5" ref="H22:H27">psatgeneralizada(B$27,C13,B13,D13)</f>
        <v>4387456.531408925</v>
      </c>
      <c r="I22" s="68">
        <f aca="true" t="shared" si="6" ref="I22:I27">H22/$G$21</f>
        <v>2.701180941434686</v>
      </c>
      <c r="J22" s="77">
        <v>2</v>
      </c>
      <c r="K22" s="77">
        <v>1</v>
      </c>
      <c r="L22" s="3">
        <v>80</v>
      </c>
      <c r="M22" s="3">
        <f aca="true" t="shared" si="7" ref="M22:M27">L22/$L$20</f>
        <v>0.16</v>
      </c>
    </row>
    <row r="23" spans="2:13" s="3" customFormat="1" ht="15" customHeight="1">
      <c r="B23" s="4"/>
      <c r="C23" s="113"/>
      <c r="D23" s="4"/>
      <c r="E23" s="3" t="e">
        <f t="shared" si="3"/>
        <v>#VALUE!</v>
      </c>
      <c r="F23" s="3">
        <f t="shared" si="4"/>
        <v>0.6828628176755162</v>
      </c>
      <c r="G23" s="20" t="s">
        <v>44</v>
      </c>
      <c r="H23" s="67">
        <f t="shared" si="5"/>
        <v>1005426.2103782995</v>
      </c>
      <c r="I23" s="68">
        <f t="shared" si="6"/>
        <v>0.6190005754018578</v>
      </c>
      <c r="J23" s="3">
        <v>3</v>
      </c>
      <c r="K23" s="77">
        <v>1</v>
      </c>
      <c r="L23" s="3">
        <v>120</v>
      </c>
      <c r="M23" s="3">
        <f t="shared" si="7"/>
        <v>0.24</v>
      </c>
    </row>
    <row r="24" spans="1:13" s="3" customFormat="1" ht="15" customHeight="1">
      <c r="A24" s="77" t="s">
        <v>39</v>
      </c>
      <c r="B24" s="76" t="e">
        <f>Pburbujanew(B27,B31:B37)</f>
        <v>#VALUE!</v>
      </c>
      <c r="C24" s="4"/>
      <c r="D24" s="43"/>
      <c r="E24" s="3" t="e">
        <f t="shared" si="3"/>
        <v>#VALUE!</v>
      </c>
      <c r="F24" s="3">
        <f t="shared" si="4"/>
        <v>0.3017116708441887</v>
      </c>
      <c r="G24" s="20"/>
      <c r="H24" s="67">
        <f t="shared" si="5"/>
        <v>370614.41088986053</v>
      </c>
      <c r="I24" s="68">
        <f t="shared" si="6"/>
        <v>0.22817242202859098</v>
      </c>
      <c r="J24" s="77">
        <v>4</v>
      </c>
      <c r="K24" s="77">
        <v>1</v>
      </c>
      <c r="L24" s="3">
        <v>140</v>
      </c>
      <c r="M24" s="3">
        <f t="shared" si="7"/>
        <v>0.28</v>
      </c>
    </row>
    <row r="25" spans="1:13" s="3" customFormat="1" ht="15" customHeight="1">
      <c r="A25" s="77" t="s">
        <v>40</v>
      </c>
      <c r="B25" s="110" t="e">
        <f>TburbujaNew(B26,B31:B37)</f>
        <v>#VALUE!</v>
      </c>
      <c r="D25" s="4"/>
      <c r="E25" s="3" t="e">
        <f t="shared" si="3"/>
        <v>#VALUE!</v>
      </c>
      <c r="F25" s="3">
        <f t="shared" si="4"/>
        <v>0.2323321597161403</v>
      </c>
      <c r="G25" s="20" t="s">
        <v>45</v>
      </c>
      <c r="H25" s="67">
        <f t="shared" si="5"/>
        <v>257859.91323713618</v>
      </c>
      <c r="I25" s="68">
        <f t="shared" si="6"/>
        <v>0.15875400205332213</v>
      </c>
      <c r="J25" s="3">
        <v>5</v>
      </c>
      <c r="K25" s="77">
        <v>1</v>
      </c>
      <c r="L25" s="3">
        <v>70</v>
      </c>
      <c r="M25" s="3">
        <f t="shared" si="7"/>
        <v>0.14</v>
      </c>
    </row>
    <row r="26" spans="1:13" s="3" customFormat="1" ht="15" customHeight="1">
      <c r="A26" s="3" t="s">
        <v>1</v>
      </c>
      <c r="B26" s="10">
        <v>1624273.4665078016</v>
      </c>
      <c r="D26" s="111" t="s">
        <v>41</v>
      </c>
      <c r="E26" s="3" t="e">
        <f t="shared" si="3"/>
        <v>#VALUE!</v>
      </c>
      <c r="F26" s="3">
        <f t="shared" si="4"/>
        <v>0.10198029587872734</v>
      </c>
      <c r="G26" s="20"/>
      <c r="H26" s="67">
        <f t="shared" si="5"/>
        <v>99410.94934724372</v>
      </c>
      <c r="I26" s="68">
        <f t="shared" si="6"/>
        <v>0.06120333268816974</v>
      </c>
      <c r="J26" s="77">
        <v>6</v>
      </c>
      <c r="K26" s="77">
        <v>1</v>
      </c>
      <c r="L26" s="3">
        <v>50</v>
      </c>
      <c r="M26" s="3">
        <f t="shared" si="7"/>
        <v>0.1</v>
      </c>
    </row>
    <row r="27" spans="1:13" s="3" customFormat="1" ht="15" customHeight="1" thickBot="1">
      <c r="A27" s="3" t="s">
        <v>2</v>
      </c>
      <c r="B27" s="5">
        <v>300</v>
      </c>
      <c r="D27" s="117">
        <f>I164</f>
        <v>1.0000000000000013</v>
      </c>
      <c r="E27" s="3" t="e">
        <f t="shared" si="3"/>
        <v>#VALUE!</v>
      </c>
      <c r="F27" s="3">
        <f t="shared" si="4"/>
        <v>0.0861223642870478</v>
      </c>
      <c r="G27" s="21"/>
      <c r="H27" s="69">
        <f t="shared" si="5"/>
        <v>75123.49032204451</v>
      </c>
      <c r="I27" s="70">
        <f t="shared" si="6"/>
        <v>0.04625051869101852</v>
      </c>
      <c r="J27" s="3">
        <v>7</v>
      </c>
      <c r="K27" s="77">
        <v>1</v>
      </c>
      <c r="L27" s="3">
        <v>20</v>
      </c>
      <c r="M27" s="3">
        <f t="shared" si="7"/>
        <v>0.04</v>
      </c>
    </row>
    <row r="28" s="3" customFormat="1" ht="15" customHeight="1" thickBot="1">
      <c r="D28" s="4"/>
    </row>
    <row r="29" spans="2:15" s="3" customFormat="1" ht="15" customHeight="1" thickBot="1">
      <c r="B29" s="118" t="s">
        <v>16</v>
      </c>
      <c r="C29" s="119"/>
      <c r="D29" s="119"/>
      <c r="E29" s="119"/>
      <c r="F29" s="119"/>
      <c r="G29" s="120"/>
      <c r="J29" s="121" t="s">
        <v>17</v>
      </c>
      <c r="K29" s="122"/>
      <c r="L29" s="122"/>
      <c r="M29" s="122"/>
      <c r="N29" s="122"/>
      <c r="O29" s="123"/>
    </row>
    <row r="30" spans="1:16" s="3" customFormat="1" ht="15" customHeight="1" thickBot="1">
      <c r="A30" s="19" t="s">
        <v>0</v>
      </c>
      <c r="B30" s="32" t="s">
        <v>22</v>
      </c>
      <c r="C30" s="33" t="s">
        <v>23</v>
      </c>
      <c r="D30" s="32" t="s">
        <v>14</v>
      </c>
      <c r="E30" s="34" t="s">
        <v>15</v>
      </c>
      <c r="F30" s="35" t="s">
        <v>20</v>
      </c>
      <c r="G30" s="85" t="s">
        <v>19</v>
      </c>
      <c r="H30" s="28" t="s">
        <v>26</v>
      </c>
      <c r="I30" s="30" t="s">
        <v>25</v>
      </c>
      <c r="J30" s="87" t="s">
        <v>24</v>
      </c>
      <c r="K30" s="88" t="s">
        <v>48</v>
      </c>
      <c r="L30" s="87" t="s">
        <v>14</v>
      </c>
      <c r="M30" s="89" t="s">
        <v>15</v>
      </c>
      <c r="N30" s="90" t="s">
        <v>21</v>
      </c>
      <c r="O30" s="91" t="s">
        <v>19</v>
      </c>
      <c r="P30"/>
    </row>
    <row r="31" spans="1:16" s="3" customFormat="1" ht="15" customHeight="1">
      <c r="A31" s="31" t="str">
        <f aca="true" t="shared" si="8" ref="A31:A37">A12</f>
        <v>Metano</v>
      </c>
      <c r="B31" s="79">
        <v>0.04</v>
      </c>
      <c r="C31" s="32">
        <f>((1+$L$12*(1-SQRT($B27/$C$12)))^2)</f>
        <v>0.7623371020943167</v>
      </c>
      <c r="D31" s="46">
        <f>C31*$M$12*$B26/$B$7/$B$7/$B27/$B27</f>
        <v>0.046440623968563785</v>
      </c>
      <c r="E31" s="47">
        <f>$N$12*$B26/$B$7/$B27</f>
        <v>0.019437282364430913</v>
      </c>
      <c r="F31" s="37">
        <f>SolLiquidaz(B31:B37,D31:D37,E31:E37,$E$12:$K$18)</f>
        <v>0.0680322717171356</v>
      </c>
      <c r="G31" s="37">
        <f>FugacityZ(F31,1,B31:B37,D31:D37,E31:E37,$E$12:$K$18)</f>
        <v>9.534734791625372</v>
      </c>
      <c r="H31" s="22">
        <v>19.261856452256424</v>
      </c>
      <c r="I31" s="4">
        <f aca="true" t="shared" si="9" ref="I31:I37">H31*B31</f>
        <v>0.7704742580902569</v>
      </c>
      <c r="J31" s="92">
        <f>I31/I38</f>
        <v>0.37961194548293303</v>
      </c>
      <c r="K31" s="87">
        <f>((1+$L$12*(1-SQRT($B27/$C$12)))^2)</f>
        <v>0.7623371020943167</v>
      </c>
      <c r="L31" s="93">
        <f>K31*$M$12*$B26/$B$7/$B$7/$B27/$B27</f>
        <v>0.046440623968563785</v>
      </c>
      <c r="M31" s="94">
        <f>$N$12*$B26/$B$7/$B27</f>
        <v>0.019437282364430913</v>
      </c>
      <c r="N31" s="95">
        <f>SolVaporz(J31:J37,L31:L37,M31:M37,$E$12:$K$18)</f>
        <v>0.8741614975028276</v>
      </c>
      <c r="O31" s="95">
        <f>FugacityZ(N31,1,J31:J37,L31:L37,M31:M37,$E$12:$K$18)</f>
        <v>1.0099729855648032</v>
      </c>
      <c r="P31"/>
    </row>
    <row r="32" spans="1:16" s="3" customFormat="1" ht="15" customHeight="1">
      <c r="A32" s="31" t="str">
        <f t="shared" si="8"/>
        <v>Etano</v>
      </c>
      <c r="B32" s="80">
        <v>0.16</v>
      </c>
      <c r="C32" s="38">
        <f>((1+$L$13*(1-SQRT($B27/$C$13)))^2)</f>
        <v>1.0111414055455135</v>
      </c>
      <c r="D32" s="86">
        <f>C32*$M$13*$B26/$B$7/$B$7/$B27/$B27</f>
        <v>0.14926149976440467</v>
      </c>
      <c r="E32" s="49">
        <f>$N$13*$B26/$B$7/$B27</f>
        <v>0.02939720677332998</v>
      </c>
      <c r="F32" s="37"/>
      <c r="G32" s="37">
        <f>FugacityZ(F31,2,B31:B37,D31:D37,E31:E37,$E$12:$K$18)</f>
        <v>1.8078136951486004</v>
      </c>
      <c r="H32" s="22">
        <v>4.222651156159086</v>
      </c>
      <c r="I32" s="4">
        <f t="shared" si="9"/>
        <v>0.6756241849854537</v>
      </c>
      <c r="J32" s="96">
        <f>I32/I38</f>
        <v>0.33287940328254867</v>
      </c>
      <c r="K32" s="97">
        <f>((1+$L$13*(1-SQRT($B27/$C$13)))^2)</f>
        <v>1.0111414055455135</v>
      </c>
      <c r="L32" s="98">
        <f>K32*$M$13*$B26/$B$7/$B$7/$B27/$B27</f>
        <v>0.14926149976440467</v>
      </c>
      <c r="M32" s="99">
        <f>$N$13*$B26/$B$7/$B27</f>
        <v>0.02939720677332998</v>
      </c>
      <c r="N32" s="95"/>
      <c r="O32" s="95">
        <f>FugacityZ(N31,2,J31:J37,L31:L37,M31:M37,$E$12:$K$18)</f>
        <v>0.8815293834914955</v>
      </c>
      <c r="P32"/>
    </row>
    <row r="33" spans="1:16" s="3" customFormat="1" ht="15" customHeight="1">
      <c r="A33" s="31" t="str">
        <f t="shared" si="8"/>
        <v>Propano</v>
      </c>
      <c r="B33" s="80">
        <v>0.24</v>
      </c>
      <c r="C33" s="38">
        <f>((1+$L$14*(1-SQRT($B27/$C$14)))^2)</f>
        <v>1.1472378704964072</v>
      </c>
      <c r="D33" s="48">
        <f>C33*$M$14*$B26/$B$7/$B$7/$B27/$B27</f>
        <v>0.2849744473258616</v>
      </c>
      <c r="E33" s="49">
        <f>$N$14*$B26/$B$7/$B27</f>
        <v>0.04083905860627225</v>
      </c>
      <c r="F33" s="37"/>
      <c r="G33" s="37">
        <f>FugacityZ(F31,3,B31:B37,D31:D37,E31:E37,$E$12:$K$18)</f>
        <v>0.5381949054252788</v>
      </c>
      <c r="H33" s="22">
        <v>1.3379212485374128</v>
      </c>
      <c r="I33" s="4">
        <f t="shared" si="9"/>
        <v>0.32110109964897904</v>
      </c>
      <c r="J33" s="96">
        <f>I33/I38</f>
        <v>0.1582062111154645</v>
      </c>
      <c r="K33" s="97">
        <f>((1+$L$14*(1-SQRT($B27/$C$14)))^2)</f>
        <v>1.1472378704964072</v>
      </c>
      <c r="L33" s="98">
        <f>K33*$M$14*$B26/$B$7/$B$7/$B27/$B27</f>
        <v>0.2849744473258616</v>
      </c>
      <c r="M33" s="99">
        <f>$N$14*$B26/$B$7/$B27</f>
        <v>0.04083905860627225</v>
      </c>
      <c r="N33" s="95"/>
      <c r="O33" s="95">
        <f>FugacityZ(N31,3,J31:J37,L31:L37,M31:M37,$E$12:$K$18)</f>
        <v>0.7886850371729278</v>
      </c>
      <c r="P33"/>
    </row>
    <row r="34" spans="1:16" s="3" customFormat="1" ht="15" customHeight="1">
      <c r="A34" s="31" t="str">
        <f t="shared" si="8"/>
        <v>i-Butano</v>
      </c>
      <c r="B34" s="80">
        <v>0.28</v>
      </c>
      <c r="C34" s="38">
        <f>((1+$L$15*(1-SQRT($B27/$C$15)))^2)</f>
        <v>1.2282030306524951</v>
      </c>
      <c r="D34" s="48">
        <f>C34*$M$15*$B26/$B$7/$B$7/$B27/$B27</f>
        <v>0.43267951454500964</v>
      </c>
      <c r="E34" s="49">
        <f>$N$15*$B26/$B$7/$B27</f>
        <v>0.05248224732314457</v>
      </c>
      <c r="F34" s="37"/>
      <c r="G34" s="37">
        <f>FugacityZ(F31,4,B31:B37,D31:D37,E31:E37,$E$12:$K$18)</f>
        <v>0.2167448787635383</v>
      </c>
      <c r="H34" s="22">
        <v>0.6022169318163263</v>
      </c>
      <c r="I34" s="4">
        <f t="shared" si="9"/>
        <v>0.16862074090857138</v>
      </c>
      <c r="J34" s="96">
        <f>I34/I38</f>
        <v>0.08307928114786918</v>
      </c>
      <c r="K34" s="97">
        <f>((1+$L$15*(1-SQRT($B27/$C$15)))^2)</f>
        <v>1.2282030306524951</v>
      </c>
      <c r="L34" s="98">
        <f>K34*$M$15*$B26/$B$7/$B$7/$B27/$B27</f>
        <v>0.43267951454500964</v>
      </c>
      <c r="M34" s="99">
        <f>$N$15*$B26/$B$7/$B27</f>
        <v>0.05248224732314457</v>
      </c>
      <c r="N34" s="95"/>
      <c r="O34" s="95">
        <f>FugacityZ(N31,4,J31:J37,L31:L37,M31:M37,$E$12:$K$18)</f>
        <v>0.7192764377819146</v>
      </c>
      <c r="P34"/>
    </row>
    <row r="35" spans="1:16" s="3" customFormat="1" ht="15" customHeight="1">
      <c r="A35" s="31" t="str">
        <f t="shared" si="8"/>
        <v>n-Butano</v>
      </c>
      <c r="B35" s="80">
        <v>0.14</v>
      </c>
      <c r="C35" s="38">
        <f>((1+$L$16*(1-SQRT($B27/$C$16)))^2)</f>
        <v>1.2679685906857454</v>
      </c>
      <c r="D35" s="48">
        <f>C35*$M$16*$B26/$B$7/$B$7/$B27/$B27</f>
        <v>0.46573410780168634</v>
      </c>
      <c r="E35" s="49">
        <f>$N$16*$B26/$B$7/$B27</f>
        <v>0.052534357643859685</v>
      </c>
      <c r="F35" s="37"/>
      <c r="G35" s="37">
        <f>FugacityZ(F31,5,B31:B37,D31:D37,E31:E37,$E$12:$K$18)</f>
        <v>0.1637851802832316</v>
      </c>
      <c r="H35" s="22">
        <v>0.46368722117749994</v>
      </c>
      <c r="I35" s="4">
        <f t="shared" si="9"/>
        <v>0.06491621096485</v>
      </c>
      <c r="J35" s="96">
        <f>I35/I38</f>
        <v>0.03198415635433264</v>
      </c>
      <c r="K35" s="97">
        <f>((1+$L$16*(1-SQRT($B27/$C$16)))^2)</f>
        <v>1.2679685906857454</v>
      </c>
      <c r="L35" s="98">
        <f>K35*$M$16*$B26/$B$7/$B$7/$B27/$B27</f>
        <v>0.46573410780168634</v>
      </c>
      <c r="M35" s="99">
        <f>$N$16*$B26/$B$7/$B27</f>
        <v>0.052534357643859685</v>
      </c>
      <c r="N35" s="95"/>
      <c r="O35" s="95">
        <f>FugacityZ(N31,5,J31:J37,L31:L37,M31:M37,$E$12:$K$18)</f>
        <v>0.7059069309231992</v>
      </c>
      <c r="P35"/>
    </row>
    <row r="36" spans="1:16" s="3" customFormat="1" ht="15" customHeight="1">
      <c r="A36" s="31" t="str">
        <f t="shared" si="8"/>
        <v>i-Pentano</v>
      </c>
      <c r="B36" s="80">
        <v>0.1</v>
      </c>
      <c r="C36" s="38">
        <f>((1+$L$17*(1-SQRT($B27/$C$17)))^2)</f>
        <v>1.345179244574965</v>
      </c>
      <c r="D36" s="48">
        <f>C36*$M$17*$B26/$B$7/$B$7/$B27/$B27</f>
        <v>0.6507211032798885</v>
      </c>
      <c r="E36" s="49">
        <f>$N$17*$B26/$B$7/$B27</f>
        <v>0.06388171034478199</v>
      </c>
      <c r="F36" s="36"/>
      <c r="G36" s="37">
        <f>FugacityZ(F31,6,B31:B37,D31:D37,E31:E37,$E$12:$K$18)</f>
        <v>0.06536864140344921</v>
      </c>
      <c r="H36" s="22">
        <v>0.21764526932071063</v>
      </c>
      <c r="I36" s="4">
        <f t="shared" si="9"/>
        <v>0.021764526932071065</v>
      </c>
      <c r="J36" s="96">
        <f>I36/I38</f>
        <v>0.01072336203895774</v>
      </c>
      <c r="K36" s="97">
        <f>((1+$L$17*(1-SQRT($B27/$C$17)))^2)</f>
        <v>1.345179244574965</v>
      </c>
      <c r="L36" s="98">
        <f>K36*$M$17*$B26/$B$7/$B$7/$B27/$B27</f>
        <v>0.6507211032798885</v>
      </c>
      <c r="M36" s="99">
        <f>$N$17*$B26/$B$7/$B27</f>
        <v>0.06388171034478199</v>
      </c>
      <c r="N36" s="100"/>
      <c r="O36" s="95">
        <f>FugacityZ(N31,6,J31:J37,L31:L37,M31:M37,$E$12:$K$18)</f>
        <v>0.6421546181453303</v>
      </c>
      <c r="P36"/>
    </row>
    <row r="37" spans="1:16" s="3" customFormat="1" ht="15" customHeight="1" thickBot="1">
      <c r="A37" s="31" t="str">
        <f t="shared" si="8"/>
        <v>n-Pentano</v>
      </c>
      <c r="B37" s="81">
        <v>0.04</v>
      </c>
      <c r="C37" s="39">
        <f>((1+$L$18*(1-SQRT($B27/$C$18)))^2)</f>
        <v>1.377451145867071</v>
      </c>
      <c r="D37" s="50">
        <f>C37*$M$18*$B26/$B$7/$B$7/$B27/$B27</f>
        <v>0.6956969551544534</v>
      </c>
      <c r="E37" s="51">
        <f>$N$18*$B26/$B$7/$B27</f>
        <v>0.06538057750220717</v>
      </c>
      <c r="F37" s="36"/>
      <c r="G37" s="37">
        <f>FugacityZ(F31,7,B31:B37,D31:D37,E31:E37,$E$12:$K$18)</f>
        <v>0.05449160777254207</v>
      </c>
      <c r="H37" s="22">
        <v>0.17838681041234264</v>
      </c>
      <c r="I37" s="4">
        <f t="shared" si="9"/>
        <v>0.007135472416493705</v>
      </c>
      <c r="J37" s="101">
        <f>I37/I38</f>
        <v>0.003515640577894129</v>
      </c>
      <c r="K37" s="102">
        <f>((1+$L$18*(1-SQRT($B27/$C$18)))^2)</f>
        <v>1.377451145867071</v>
      </c>
      <c r="L37" s="103">
        <f>K37*$M$18*$B26/$B$7/$B$7/$B27/$B27</f>
        <v>0.6956969551544534</v>
      </c>
      <c r="M37" s="104">
        <f>$N$18*$B26/$B$7/$B27</f>
        <v>0.06538057750220717</v>
      </c>
      <c r="N37" s="100"/>
      <c r="O37" s="95">
        <f>FugacityZ(N31,7,J31:J37,L31:L37,M31:M37,$E$12:$K$18)</f>
        <v>0.633901439020614</v>
      </c>
      <c r="P37"/>
    </row>
    <row r="38" spans="1:16" s="3" customFormat="1" ht="15" customHeight="1" thickBot="1">
      <c r="A38" s="19" t="s">
        <v>4</v>
      </c>
      <c r="B38" s="39">
        <f>SUM(B31:B37)</f>
        <v>1</v>
      </c>
      <c r="C38" s="40"/>
      <c r="D38" s="39">
        <f>amixture(B31:B37,D31:D37,$E$12:$K$18)</f>
        <v>0.35083319981080285</v>
      </c>
      <c r="E38" s="41">
        <f>bmixture(B31:B37,E31:E37)</f>
        <v>0.0463356518990027</v>
      </c>
      <c r="F38" s="42"/>
      <c r="G38" s="42"/>
      <c r="H38" s="28"/>
      <c r="I38" s="30">
        <f>SUM(I31:I37)</f>
        <v>2.029636493946676</v>
      </c>
      <c r="J38" s="102">
        <f>SUM(J31:J37)</f>
        <v>0.9999999999999999</v>
      </c>
      <c r="K38" s="105"/>
      <c r="L38" s="102">
        <f>amixture(J31:J37,L31:L37,$E$12:$K$18)</f>
        <v>0.14664924067395993</v>
      </c>
      <c r="M38" s="106">
        <f>bmixture(J31:J37,M31:M37)</f>
        <v>0.030580677758218253</v>
      </c>
      <c r="N38" s="107"/>
      <c r="O38" s="107"/>
      <c r="P38"/>
    </row>
    <row r="39" s="3" customFormat="1" ht="15" customHeight="1">
      <c r="P39"/>
    </row>
    <row r="40" spans="1:16" s="3" customFormat="1" ht="15" customHeight="1">
      <c r="A40" s="3" t="s">
        <v>1</v>
      </c>
      <c r="B40" s="43">
        <f>B26</f>
        <v>1624273.4665078016</v>
      </c>
      <c r="P40"/>
    </row>
    <row r="41" spans="1:15" ht="15" customHeight="1">
      <c r="A41" s="3" t="s">
        <v>2</v>
      </c>
      <c r="B41" s="4">
        <f>B27</f>
        <v>300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" customHeight="1" thickBot="1">
      <c r="A42" s="3"/>
      <c r="B42" s="3"/>
      <c r="C42" s="3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5" customHeight="1" thickBot="1">
      <c r="A43" s="3"/>
      <c r="B43" s="118" t="s">
        <v>16</v>
      </c>
      <c r="C43" s="119"/>
      <c r="D43" s="119"/>
      <c r="E43" s="119"/>
      <c r="F43" s="119"/>
      <c r="G43" s="120"/>
      <c r="H43" s="3"/>
      <c r="I43" s="3"/>
      <c r="J43" s="121" t="s">
        <v>17</v>
      </c>
      <c r="K43" s="122"/>
      <c r="L43" s="122"/>
      <c r="M43" s="122"/>
      <c r="N43" s="122"/>
      <c r="O43" s="123"/>
    </row>
    <row r="44" spans="1:15" ht="15" customHeight="1" thickBot="1">
      <c r="A44" s="19" t="s">
        <v>0</v>
      </c>
      <c r="B44" s="32" t="s">
        <v>22</v>
      </c>
      <c r="C44" s="33" t="s">
        <v>23</v>
      </c>
      <c r="D44" s="32" t="s">
        <v>14</v>
      </c>
      <c r="E44" s="34" t="s">
        <v>15</v>
      </c>
      <c r="F44" s="35" t="s">
        <v>20</v>
      </c>
      <c r="G44" s="85" t="s">
        <v>19</v>
      </c>
      <c r="H44" s="28" t="s">
        <v>26</v>
      </c>
      <c r="I44" s="30" t="s">
        <v>25</v>
      </c>
      <c r="J44" s="87" t="s">
        <v>24</v>
      </c>
      <c r="K44" s="88" t="s">
        <v>48</v>
      </c>
      <c r="L44" s="87" t="s">
        <v>14</v>
      </c>
      <c r="M44" s="89" t="s">
        <v>15</v>
      </c>
      <c r="N44" s="90" t="s">
        <v>21</v>
      </c>
      <c r="O44" s="91" t="s">
        <v>19</v>
      </c>
    </row>
    <row r="45" spans="1:15" ht="15" customHeight="1">
      <c r="A45" s="31" t="str">
        <f>A31</f>
        <v>Metano</v>
      </c>
      <c r="B45" s="44">
        <f>B31</f>
        <v>0.04</v>
      </c>
      <c r="C45" s="32">
        <f>((1+$L$12*(1-SQRT($B41/$C$12)))^2)</f>
        <v>0.7623371020943167</v>
      </c>
      <c r="D45" s="46">
        <f>C45*$M$12*$B40/$B$7/$B$7/$B41/$B41</f>
        <v>0.046440623968563785</v>
      </c>
      <c r="E45" s="47">
        <f>$N$12*$B40/$B$7/$B41</f>
        <v>0.019437282364430913</v>
      </c>
      <c r="F45" s="37">
        <f>SolLiquidaz(B45:B51,D45:D51,E45:E51,$E$12:$K$18)</f>
        <v>0.0680322717171356</v>
      </c>
      <c r="G45" s="37">
        <f>FugacityZ(F45,1,B45:B51,D45:D51,E45:E51,$E$12:$K$18)</f>
        <v>9.534734791625372</v>
      </c>
      <c r="H45" s="20">
        <f>G31/O31</f>
        <v>9.44058398383131</v>
      </c>
      <c r="I45" s="4">
        <f aca="true" t="shared" si="10" ref="I45:I51">H45*B45</f>
        <v>0.3776233593532524</v>
      </c>
      <c r="J45" s="92">
        <f>I45/I52</f>
        <v>0.37762455888769275</v>
      </c>
      <c r="K45" s="87">
        <f>((1+$L$12*(1-SQRT($B41/$C$12)))^2)</f>
        <v>0.7623371020943167</v>
      </c>
      <c r="L45" s="93">
        <f>K45*$M$12*$B40/$B$7/$B$7/$B41/$B41</f>
        <v>0.046440623968563785</v>
      </c>
      <c r="M45" s="94">
        <f>$N$12*$B40/$B$7/$B41</f>
        <v>0.019437282364430913</v>
      </c>
      <c r="N45" s="95">
        <f>SolVaporz(J45:J51,L45:L51,M45:M51,$E$12:$K$18)</f>
        <v>0.8729615481730393</v>
      </c>
      <c r="O45" s="95">
        <f>FugacityZ(N45,1,J45:J51,L45:L51,M45:M51,$E$12:$K$18)</f>
        <v>1.0106944269989702</v>
      </c>
    </row>
    <row r="46" spans="1:15" ht="15" customHeight="1">
      <c r="A46" s="31" t="str">
        <f aca="true" t="shared" si="11" ref="A46:A51">A32</f>
        <v>Etano</v>
      </c>
      <c r="B46" s="45">
        <f aca="true" t="shared" si="12" ref="B46:B51">B32</f>
        <v>0.16</v>
      </c>
      <c r="C46" s="38">
        <f>((1+$L$13*(1-SQRT($B41/$C$13)))^2)</f>
        <v>1.0111414055455135</v>
      </c>
      <c r="D46" s="86">
        <f>C46*$M$13*$B40/$B$7/$B$7/$B41/$B41</f>
        <v>0.14926149976440467</v>
      </c>
      <c r="E46" s="49">
        <f>$N$13*$B40/$B$7/$B41</f>
        <v>0.02939720677332998</v>
      </c>
      <c r="F46" s="37"/>
      <c r="G46" s="37">
        <f>FugacityZ(F45,2,B45:B51,D45:D51,E45:E51,$E$12:$K$18)</f>
        <v>1.8078136951486004</v>
      </c>
      <c r="H46" s="20">
        <f aca="true" t="shared" si="13" ref="H46:H51">G32/O32</f>
        <v>2.0507696385438083</v>
      </c>
      <c r="I46" s="4">
        <f t="shared" si="10"/>
        <v>0.32812314216700933</v>
      </c>
      <c r="J46" s="96">
        <f>I46/I52</f>
        <v>0.32812418446219566</v>
      </c>
      <c r="K46" s="97">
        <f>((1+$L$13*(1-SQRT($B41/$C$13)))^2)</f>
        <v>1.0111414055455135</v>
      </c>
      <c r="L46" s="98">
        <f>K46*$M$13*$B40/$B$7/$B$7/$B41/$B41</f>
        <v>0.14926149976440467</v>
      </c>
      <c r="M46" s="99">
        <f>$N$13*$B40/$B$7/$B41</f>
        <v>0.02939720677332998</v>
      </c>
      <c r="N46" s="95"/>
      <c r="O46" s="95">
        <f>FugacityZ(N45,2,J45:J51,L45:L51,M45:M51,$E$12:$K$18)</f>
        <v>0.881503835194266</v>
      </c>
    </row>
    <row r="47" spans="1:15" ht="15" customHeight="1">
      <c r="A47" s="31" t="str">
        <f t="shared" si="11"/>
        <v>Propano</v>
      </c>
      <c r="B47" s="45">
        <f t="shared" si="12"/>
        <v>0.24</v>
      </c>
      <c r="C47" s="38">
        <f>((1+$L$14*(1-SQRT($B41/$C$14)))^2)</f>
        <v>1.1472378704964072</v>
      </c>
      <c r="D47" s="48">
        <f>C47*$M$14*$B40/$B$7/$B$7/$B41/$B41</f>
        <v>0.2849744473258616</v>
      </c>
      <c r="E47" s="49">
        <f>$N$14*$B40/$B$7/$B41</f>
        <v>0.04083905860627225</v>
      </c>
      <c r="F47" s="37"/>
      <c r="G47" s="37">
        <f>FugacityZ(F45,3,B45:B51,D45:D51,E45:E51,$E$12:$K$18)</f>
        <v>0.5381949054252788</v>
      </c>
      <c r="H47" s="20">
        <f t="shared" si="13"/>
        <v>0.6823952275733027</v>
      </c>
      <c r="I47" s="4">
        <f t="shared" si="10"/>
        <v>0.16377485461759264</v>
      </c>
      <c r="J47" s="96">
        <f>I47/I52</f>
        <v>0.16377537485442042</v>
      </c>
      <c r="K47" s="97">
        <f>((1+$L$14*(1-SQRT($B41/$C$14)))^2)</f>
        <v>1.1472378704964072</v>
      </c>
      <c r="L47" s="98">
        <f>K47*$M$14*$B40/$B$7/$B$7/$B41/$B41</f>
        <v>0.2849744473258616</v>
      </c>
      <c r="M47" s="99">
        <f>$N$14*$B40/$B$7/$B41</f>
        <v>0.04083905860627225</v>
      </c>
      <c r="N47" s="95"/>
      <c r="O47" s="95">
        <f>FugacityZ(N45,3,J45:J51,L45:L51,M45:M51,$E$12:$K$18)</f>
        <v>0.7881867944229158</v>
      </c>
    </row>
    <row r="48" spans="1:15" ht="15" customHeight="1">
      <c r="A48" s="31" t="str">
        <f t="shared" si="11"/>
        <v>i-Butano</v>
      </c>
      <c r="B48" s="45">
        <f t="shared" si="12"/>
        <v>0.28</v>
      </c>
      <c r="C48" s="38">
        <f>((1+$L$15*(1-SQRT($B41/$C$15)))^2)</f>
        <v>1.2282030306524951</v>
      </c>
      <c r="D48" s="48">
        <f>C48*$M$15*$B40/$B$7/$B$7/$B41/$B41</f>
        <v>0.43267951454500964</v>
      </c>
      <c r="E48" s="49">
        <f>$N$15*$B40/$B$7/$B41</f>
        <v>0.05248224732314457</v>
      </c>
      <c r="F48" s="37"/>
      <c r="G48" s="37">
        <f>FugacityZ(F45,4,B45:B51,D45:D51,E45:E51,$E$12:$K$18)</f>
        <v>0.2167448787635383</v>
      </c>
      <c r="H48" s="20">
        <f t="shared" si="13"/>
        <v>0.3013373820946093</v>
      </c>
      <c r="I48" s="4">
        <f t="shared" si="10"/>
        <v>0.08437446698649062</v>
      </c>
      <c r="J48" s="96">
        <f>I48/I52</f>
        <v>0.0843747350050772</v>
      </c>
      <c r="K48" s="97">
        <f>((1+$L$15*(1-SQRT($B41/$C$15)))^2)</f>
        <v>1.2282030306524951</v>
      </c>
      <c r="L48" s="98">
        <f>K48*$M$15*$B40/$B$7/$B$7/$B41/$B41</f>
        <v>0.43267951454500964</v>
      </c>
      <c r="M48" s="99">
        <f>$N$15*$B40/$B$7/$B41</f>
        <v>0.05248224732314457</v>
      </c>
      <c r="N48" s="95"/>
      <c r="O48" s="95">
        <f>FugacityZ(N45,4,J45:J51,L45:L51,M45:M51,$E$12:$K$18)</f>
        <v>0.7184540108542888</v>
      </c>
    </row>
    <row r="49" spans="1:15" ht="15" customHeight="1">
      <c r="A49" s="31" t="str">
        <f t="shared" si="11"/>
        <v>n-Butano</v>
      </c>
      <c r="B49" s="45">
        <f t="shared" si="12"/>
        <v>0.14</v>
      </c>
      <c r="C49" s="38">
        <f>((1+$L$16*(1-SQRT($B41/$C$16)))^2)</f>
        <v>1.2679685906857454</v>
      </c>
      <c r="D49" s="48">
        <f>C49*$M$16*$B40/$B$7/$B$7/$B41/$B41</f>
        <v>0.46573410780168634</v>
      </c>
      <c r="E49" s="49">
        <f>$N$16*$B40/$B$7/$B41</f>
        <v>0.052534357643859685</v>
      </c>
      <c r="F49" s="37"/>
      <c r="G49" s="37">
        <f>FugacityZ(F45,5,B45:B51,D45:D51,E45:E51,$E$12:$K$18)</f>
        <v>0.1637851802832316</v>
      </c>
      <c r="H49" s="20">
        <f t="shared" si="13"/>
        <v>0.2320209267091769</v>
      </c>
      <c r="I49" s="4">
        <f t="shared" si="10"/>
        <v>0.032482929739284766</v>
      </c>
      <c r="J49" s="96">
        <f>I49/I52</f>
        <v>0.032483032922501535</v>
      </c>
      <c r="K49" s="97">
        <f>((1+$L$16*(1-SQRT($B41/$C$16)))^2)</f>
        <v>1.2679685906857454</v>
      </c>
      <c r="L49" s="98">
        <f>K49*$M$16*$B40/$B$7/$B$7/$B41/$B41</f>
        <v>0.46573410780168634</v>
      </c>
      <c r="M49" s="99">
        <f>$N$16*$B40/$B$7/$B41</f>
        <v>0.052534357643859685</v>
      </c>
      <c r="N49" s="95"/>
      <c r="O49" s="95">
        <f>FugacityZ(N45,5,J45:J51,L45:L51,M45:M51,$E$12:$K$18)</f>
        <v>0.7050339198451697</v>
      </c>
    </row>
    <row r="50" spans="1:15" ht="15" customHeight="1">
      <c r="A50" s="31" t="str">
        <f t="shared" si="11"/>
        <v>i-Pentano</v>
      </c>
      <c r="B50" s="45">
        <f t="shared" si="12"/>
        <v>0.1</v>
      </c>
      <c r="C50" s="38">
        <f>((1+$L$17*(1-SQRT($B41/$C$17)))^2)</f>
        <v>1.345179244574965</v>
      </c>
      <c r="D50" s="48">
        <f>C50*$M$17*$B40/$B$7/$B$7/$B41/$B41</f>
        <v>0.6507211032798885</v>
      </c>
      <c r="E50" s="49">
        <f>$N$17*$B40/$B$7/$B41</f>
        <v>0.06388171034478199</v>
      </c>
      <c r="F50" s="36"/>
      <c r="G50" s="37">
        <f>FugacityZ(F45,6,B45:B51,D45:D51,E45:E51,$E$12:$K$18)</f>
        <v>0.06536864140344921</v>
      </c>
      <c r="H50" s="20">
        <f t="shared" si="13"/>
        <v>0.1017957973926074</v>
      </c>
      <c r="I50" s="4">
        <f t="shared" si="10"/>
        <v>0.01017957973926074</v>
      </c>
      <c r="J50" s="96">
        <f>I50/I52</f>
        <v>0.010179612075068848</v>
      </c>
      <c r="K50" s="97">
        <f>((1+$L$17*(1-SQRT($B41/$C$17)))^2)</f>
        <v>1.345179244574965</v>
      </c>
      <c r="L50" s="98">
        <f>K50*$M$17*$B40/$B$7/$B$7/$B41/$B41</f>
        <v>0.6507211032798885</v>
      </c>
      <c r="M50" s="99">
        <f>$N$17*$B40/$B$7/$B41</f>
        <v>0.06388171034478199</v>
      </c>
      <c r="N50" s="100"/>
      <c r="O50" s="95">
        <f>FugacityZ(N45,6,J45:J51,L45:L51,M45:M51,$E$12:$K$18)</f>
        <v>0.6410849895133676</v>
      </c>
    </row>
    <row r="51" spans="1:15" ht="15" customHeight="1" thickBot="1">
      <c r="A51" s="31" t="str">
        <f t="shared" si="11"/>
        <v>n-Pentano</v>
      </c>
      <c r="B51" s="81">
        <f t="shared" si="12"/>
        <v>0.04</v>
      </c>
      <c r="C51" s="39">
        <f>((1+$L$18*(1-SQRT($B41/$C$18)))^2)</f>
        <v>1.377451145867071</v>
      </c>
      <c r="D51" s="50">
        <f>C51*$M$18*$B40/$B$7/$B$7/$B41/$B41</f>
        <v>0.6956969551544534</v>
      </c>
      <c r="E51" s="51">
        <f>$N$18*$B40/$B$7/$B41</f>
        <v>0.06538057750220717</v>
      </c>
      <c r="F51" s="36"/>
      <c r="G51" s="37">
        <f>FugacityZ(F45,7,B45:B51,D45:D51,E45:E51,$E$12:$K$18)</f>
        <v>0.05449160777254207</v>
      </c>
      <c r="H51" s="20">
        <f t="shared" si="13"/>
        <v>0.08596227176378131</v>
      </c>
      <c r="I51" s="4">
        <f t="shared" si="10"/>
        <v>0.0034384908705512524</v>
      </c>
      <c r="J51" s="101">
        <f>I51/I52</f>
        <v>0.003438501793043518</v>
      </c>
      <c r="K51" s="102">
        <f>((1+$L$18*(1-SQRT($B41/$C$18)))^2)</f>
        <v>1.377451145867071</v>
      </c>
      <c r="L51" s="103">
        <f>K51*$M$18*$B40/$B$7/$B$7/$B41/$B41</f>
        <v>0.6956969551544534</v>
      </c>
      <c r="M51" s="104">
        <f>$N$18*$B40/$B$7/$B41</f>
        <v>0.06538057750220717</v>
      </c>
      <c r="N51" s="100"/>
      <c r="O51" s="95">
        <f>FugacityZ(N45,7,J45:J51,L45:L51,M45:M51,$E$12:$K$18)</f>
        <v>0.6328196134438185</v>
      </c>
    </row>
    <row r="52" spans="1:15" ht="15" customHeight="1" thickBot="1">
      <c r="A52" s="19" t="s">
        <v>4</v>
      </c>
      <c r="B52" s="39">
        <f>SUM(B45:B51)</f>
        <v>1</v>
      </c>
      <c r="C52" s="40"/>
      <c r="D52" s="39">
        <f>amixture(B45:B51,D45:D51,$E$12:$K$18)</f>
        <v>0.35083319981080285</v>
      </c>
      <c r="E52" s="41">
        <f>bmixture(B45:B51,E45:E51)</f>
        <v>0.0463356518990027</v>
      </c>
      <c r="F52" s="42"/>
      <c r="G52" s="42"/>
      <c r="H52" s="28"/>
      <c r="I52" s="30">
        <f>SUM(I45:I51)</f>
        <v>0.9999968234734419</v>
      </c>
      <c r="J52" s="102">
        <f>SUM(J45:J51)</f>
        <v>0.9999999999999999</v>
      </c>
      <c r="K52" s="105"/>
      <c r="L52" s="102">
        <f>amixture(J45:J51,L45:L51,$E$12:$K$18)</f>
        <v>0.1477175019528556</v>
      </c>
      <c r="M52" s="106">
        <f>bmixture(J45:J51,M45:M51)</f>
        <v>0.030684115050995633</v>
      </c>
      <c r="N52" s="107"/>
      <c r="O52" s="107"/>
    </row>
    <row r="54" spans="1:15" ht="15" customHeight="1">
      <c r="A54" s="3" t="s">
        <v>1</v>
      </c>
      <c r="B54" s="43">
        <f>B40</f>
        <v>1624273.4665078016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customHeight="1">
      <c r="A55" s="3" t="s">
        <v>2</v>
      </c>
      <c r="B55" s="4">
        <f>B41</f>
        <v>300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5" customHeight="1" thickBot="1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5" customHeight="1" thickBot="1">
      <c r="A57" s="3"/>
      <c r="B57" s="118" t="s">
        <v>16</v>
      </c>
      <c r="C57" s="119"/>
      <c r="D57" s="119"/>
      <c r="E57" s="119"/>
      <c r="F57" s="119"/>
      <c r="G57" s="120"/>
      <c r="H57" s="3"/>
      <c r="I57" s="3"/>
      <c r="J57" s="121" t="s">
        <v>17</v>
      </c>
      <c r="K57" s="122"/>
      <c r="L57" s="122"/>
      <c r="M57" s="122"/>
      <c r="N57" s="122"/>
      <c r="O57" s="123"/>
    </row>
    <row r="58" spans="1:15" ht="15" customHeight="1" thickBot="1">
      <c r="A58" s="19" t="s">
        <v>0</v>
      </c>
      <c r="B58" s="32" t="s">
        <v>22</v>
      </c>
      <c r="C58" s="33" t="s">
        <v>23</v>
      </c>
      <c r="D58" s="32" t="s">
        <v>14</v>
      </c>
      <c r="E58" s="34" t="s">
        <v>15</v>
      </c>
      <c r="F58" s="35" t="s">
        <v>20</v>
      </c>
      <c r="G58" s="85" t="s">
        <v>19</v>
      </c>
      <c r="H58" s="28" t="s">
        <v>26</v>
      </c>
      <c r="I58" s="30" t="s">
        <v>25</v>
      </c>
      <c r="J58" s="87" t="s">
        <v>24</v>
      </c>
      <c r="K58" s="88" t="s">
        <v>48</v>
      </c>
      <c r="L58" s="87" t="s">
        <v>14</v>
      </c>
      <c r="M58" s="89" t="s">
        <v>15</v>
      </c>
      <c r="N58" s="90" t="s">
        <v>21</v>
      </c>
      <c r="O58" s="91" t="s">
        <v>19</v>
      </c>
    </row>
    <row r="59" spans="1:15" ht="15" customHeight="1">
      <c r="A59" s="31" t="str">
        <f>A45</f>
        <v>Metano</v>
      </c>
      <c r="B59" s="44">
        <f>B45</f>
        <v>0.04</v>
      </c>
      <c r="C59" s="32">
        <f>((1+$L$12*(1-SQRT($B55/$C$12)))^2)</f>
        <v>0.7623371020943167</v>
      </c>
      <c r="D59" s="46">
        <f>C59*$M$12*$B54/$B$7/$B$7/$B55/$B55</f>
        <v>0.046440623968563785</v>
      </c>
      <c r="E59" s="47">
        <f>$N$12*$B54/$B$7/$B55</f>
        <v>0.019437282364430913</v>
      </c>
      <c r="F59" s="37">
        <f>SolLiquidaz(B59:B65,D59:D65,E59:E65,$E$12:$K$18)</f>
        <v>0.0680322717171356</v>
      </c>
      <c r="G59" s="37">
        <f>FugacityZ(F59,1,B59:B65,D59:D65,E59:E65,$E$12:$K$18)</f>
        <v>9.534734791625372</v>
      </c>
      <c r="H59" s="20">
        <f aca="true" t="shared" si="14" ref="H59:H65">G45/O45</f>
        <v>9.433845222572982</v>
      </c>
      <c r="I59" s="4">
        <f aca="true" t="shared" si="15" ref="I59:I65">H59*B59</f>
        <v>0.3773538089029193</v>
      </c>
      <c r="J59" s="92">
        <f>I59/I66</f>
        <v>0.37735381617223046</v>
      </c>
      <c r="K59" s="87">
        <f>((1+$L$12*(1-SQRT($B55/$C$12)))^2)</f>
        <v>0.7623371020943167</v>
      </c>
      <c r="L59" s="93">
        <f>K59*$M$12*$B54/$B$7/$B$7/$B55/$B55</f>
        <v>0.046440623968563785</v>
      </c>
      <c r="M59" s="94">
        <f>$N$12*$B54/$B$7/$B55</f>
        <v>0.019437282364430913</v>
      </c>
      <c r="N59" s="95">
        <f>SolVaporz(J59:J65,L59:L65,M59:M65,$E$12:$K$18)</f>
        <v>0.8728665321304045</v>
      </c>
      <c r="O59" s="95">
        <f>FugacityZ(N59,1,J59:J65,L59:L65,M59:M65,$E$12:$K$18)</f>
        <v>1.0107502774477255</v>
      </c>
    </row>
    <row r="60" spans="1:15" ht="15" customHeight="1">
      <c r="A60" s="31" t="str">
        <f aca="true" t="shared" si="16" ref="A60:B65">A46</f>
        <v>Etano</v>
      </c>
      <c r="B60" s="45">
        <f t="shared" si="16"/>
        <v>0.16</v>
      </c>
      <c r="C60" s="38">
        <f>((1+$L$13*(1-SQRT($B55/$C$13)))^2)</f>
        <v>1.0111414055455135</v>
      </c>
      <c r="D60" s="86">
        <f>C60*$M$13*$B54/$B$7/$B$7/$B55/$B55</f>
        <v>0.14926149976440467</v>
      </c>
      <c r="E60" s="49">
        <f>$N$13*$B54/$B$7/$B55</f>
        <v>0.02939720677332998</v>
      </c>
      <c r="F60" s="37"/>
      <c r="G60" s="37">
        <f>FugacityZ(F59,2,B59:B65,D59:D65,E59:E65,$E$12:$K$18)</f>
        <v>1.8078136951486004</v>
      </c>
      <c r="H60" s="20">
        <f t="shared" si="14"/>
        <v>2.0508290752361775</v>
      </c>
      <c r="I60" s="4">
        <f t="shared" si="15"/>
        <v>0.3281326520377884</v>
      </c>
      <c r="J60" s="96">
        <f>I60/I66</f>
        <v>0.3281326583589074</v>
      </c>
      <c r="K60" s="97">
        <f>((1+$L$13*(1-SQRT($B55/$C$13)))^2)</f>
        <v>1.0111414055455135</v>
      </c>
      <c r="L60" s="98">
        <f>K60*$M$13*$B54/$B$7/$B$7/$B55/$B55</f>
        <v>0.14926149976440467</v>
      </c>
      <c r="M60" s="99">
        <f>$N$13*$B54/$B$7/$B55</f>
        <v>0.02939720677332998</v>
      </c>
      <c r="N60" s="95"/>
      <c r="O60" s="95">
        <f>FugacityZ(N59,2,J59:J65,L59:L65,M59:M65,$E$12:$K$18)</f>
        <v>0.8815028925059188</v>
      </c>
    </row>
    <row r="61" spans="1:15" ht="15" customHeight="1">
      <c r="A61" s="31" t="str">
        <f t="shared" si="16"/>
        <v>Propano</v>
      </c>
      <c r="B61" s="45">
        <f t="shared" si="16"/>
        <v>0.24</v>
      </c>
      <c r="C61" s="38">
        <f>((1+$L$14*(1-SQRT($B55/$C$14)))^2)</f>
        <v>1.1472378704964072</v>
      </c>
      <c r="D61" s="48">
        <f>C61*$M$14*$B54/$B$7/$B$7/$B55/$B55</f>
        <v>0.2849744473258616</v>
      </c>
      <c r="E61" s="49">
        <f>$N$14*$B54/$B$7/$B55</f>
        <v>0.04083905860627225</v>
      </c>
      <c r="F61" s="37"/>
      <c r="G61" s="37">
        <f>FugacityZ(F59,3,B59:B65,D59:D65,E59:E65,$E$12:$K$18)</f>
        <v>0.5381949054252788</v>
      </c>
      <c r="H61" s="20">
        <f t="shared" si="14"/>
        <v>0.6828265954637406</v>
      </c>
      <c r="I61" s="4">
        <f t="shared" si="15"/>
        <v>0.16387838291129772</v>
      </c>
      <c r="J61" s="96">
        <f>I61/I66</f>
        <v>0.1638783860682367</v>
      </c>
      <c r="K61" s="97">
        <f>((1+$L$14*(1-SQRT($B55/$C$14)))^2)</f>
        <v>1.1472378704964072</v>
      </c>
      <c r="L61" s="98">
        <f>K61*$M$14*$B54/$B$7/$B$7/$B55/$B55</f>
        <v>0.2849744473258616</v>
      </c>
      <c r="M61" s="99">
        <f>$N$14*$B54/$B$7/$B55</f>
        <v>0.04083905860627225</v>
      </c>
      <c r="N61" s="95"/>
      <c r="O61" s="95">
        <f>FugacityZ(N59,3,J59:J65,L59:L65,M59:M65,$E$12:$K$18)</f>
        <v>0.7881482381046879</v>
      </c>
    </row>
    <row r="62" spans="1:15" ht="15" customHeight="1">
      <c r="A62" s="31" t="str">
        <f t="shared" si="16"/>
        <v>i-Butano</v>
      </c>
      <c r="B62" s="45">
        <f t="shared" si="16"/>
        <v>0.28</v>
      </c>
      <c r="C62" s="38">
        <f>((1+$L$15*(1-SQRT($B55/$C$15)))^2)</f>
        <v>1.2282030306524951</v>
      </c>
      <c r="D62" s="48">
        <f>C62*$M$15*$B54/$B$7/$B$7/$B55/$B55</f>
        <v>0.43267951454500964</v>
      </c>
      <c r="E62" s="49">
        <f>$N$15*$B54/$B$7/$B55</f>
        <v>0.05248224732314457</v>
      </c>
      <c r="F62" s="37"/>
      <c r="G62" s="37">
        <f>FugacityZ(F59,4,B59:B65,D59:D65,E59:E65,$E$12:$K$18)</f>
        <v>0.2167448787635383</v>
      </c>
      <c r="H62" s="20">
        <f t="shared" si="14"/>
        <v>0.3016823282896207</v>
      </c>
      <c r="I62" s="4">
        <f t="shared" si="15"/>
        <v>0.0844710519210938</v>
      </c>
      <c r="J62" s="96">
        <f>I62/I66</f>
        <v>0.08447105354833684</v>
      </c>
      <c r="K62" s="97">
        <f>((1+$L$15*(1-SQRT($B55/$C$15)))^2)</f>
        <v>1.2282030306524951</v>
      </c>
      <c r="L62" s="98">
        <f>K62*$M$15*$B54/$B$7/$B$7/$B55/$B55</f>
        <v>0.43267951454500964</v>
      </c>
      <c r="M62" s="99">
        <f>$N$15*$B54/$B$7/$B55</f>
        <v>0.05248224732314457</v>
      </c>
      <c r="N62" s="95"/>
      <c r="O62" s="95">
        <f>FugacityZ(N59,4,J59:J65,L59:L65,M59:M65,$E$12:$K$18)</f>
        <v>0.7183895740681955</v>
      </c>
    </row>
    <row r="63" spans="1:15" ht="15" customHeight="1">
      <c r="A63" s="31" t="str">
        <f t="shared" si="16"/>
        <v>n-Butano</v>
      </c>
      <c r="B63" s="45">
        <f t="shared" si="16"/>
        <v>0.14</v>
      </c>
      <c r="C63" s="38">
        <f>((1+$L$16*(1-SQRT($B55/$C$16)))^2)</f>
        <v>1.2679685906857454</v>
      </c>
      <c r="D63" s="48">
        <f>C63*$M$16*$B54/$B$7/$B$7/$B55/$B55</f>
        <v>0.46573410780168634</v>
      </c>
      <c r="E63" s="49">
        <f>$N$16*$B54/$B$7/$B55</f>
        <v>0.052534357643859685</v>
      </c>
      <c r="F63" s="37"/>
      <c r="G63" s="37">
        <f>FugacityZ(F59,5,B59:B65,D59:D65,E59:E65,$E$12:$K$18)</f>
        <v>0.1637851802832316</v>
      </c>
      <c r="H63" s="20">
        <f t="shared" si="14"/>
        <v>0.23230822755194525</v>
      </c>
      <c r="I63" s="4">
        <f t="shared" si="15"/>
        <v>0.03252315185727234</v>
      </c>
      <c r="J63" s="96">
        <f>I63/I66</f>
        <v>0.032523152483795524</v>
      </c>
      <c r="K63" s="97">
        <f>((1+$L$16*(1-SQRT($B55/$C$16)))^2)</f>
        <v>1.2679685906857454</v>
      </c>
      <c r="L63" s="98">
        <f>K63*$M$16*$B54/$B$7/$B$7/$B55/$B55</f>
        <v>0.46573410780168634</v>
      </c>
      <c r="M63" s="99">
        <f>$N$16*$B54/$B$7/$B55</f>
        <v>0.052534357643859685</v>
      </c>
      <c r="N63" s="95"/>
      <c r="O63" s="95">
        <f>FugacityZ(N59,5,J59:J65,L59:L65,M59:M65,$E$12:$K$18)</f>
        <v>0.7049669476140827</v>
      </c>
    </row>
    <row r="64" spans="1:15" ht="15" customHeight="1">
      <c r="A64" s="31" t="str">
        <f t="shared" si="16"/>
        <v>i-Pentano</v>
      </c>
      <c r="B64" s="45">
        <f t="shared" si="16"/>
        <v>0.1</v>
      </c>
      <c r="C64" s="38">
        <f>((1+$L$17*(1-SQRT($B55/$C$17)))^2)</f>
        <v>1.345179244574965</v>
      </c>
      <c r="D64" s="48">
        <f>C64*$M$17*$B54/$B$7/$B$7/$B55/$B55</f>
        <v>0.6507211032798885</v>
      </c>
      <c r="E64" s="49">
        <f>$N$17*$B54/$B$7/$B55</f>
        <v>0.06388171034478199</v>
      </c>
      <c r="F64" s="36"/>
      <c r="G64" s="37">
        <f>FugacityZ(F59,6,B59:B65,D59:D65,E59:E65,$E$12:$K$18)</f>
        <v>0.06536864140344921</v>
      </c>
      <c r="H64" s="20">
        <f t="shared" si="14"/>
        <v>0.10196564023916548</v>
      </c>
      <c r="I64" s="4">
        <f t="shared" si="15"/>
        <v>0.010196564023916548</v>
      </c>
      <c r="J64" s="96">
        <f>I64/I66</f>
        <v>0.010196564220342276</v>
      </c>
      <c r="K64" s="97">
        <f>((1+$L$17*(1-SQRT($B55/$C$17)))^2)</f>
        <v>1.345179244574965</v>
      </c>
      <c r="L64" s="98">
        <f>K64*$M$17*$B54/$B$7/$B$7/$B55/$B55</f>
        <v>0.6507211032798885</v>
      </c>
      <c r="M64" s="99">
        <f>$N$17*$B54/$B$7/$B55</f>
        <v>0.06388171034478199</v>
      </c>
      <c r="N64" s="100"/>
      <c r="O64" s="95">
        <f>FugacityZ(N59,6,J59:J65,L59:L65,M59:M65,$E$12:$K$18)</f>
        <v>0.6410000296599476</v>
      </c>
    </row>
    <row r="65" spans="1:15" ht="15" customHeight="1" thickBot="1">
      <c r="A65" s="31" t="str">
        <f t="shared" si="16"/>
        <v>n-Pentano</v>
      </c>
      <c r="B65" s="81">
        <f t="shared" si="16"/>
        <v>0.04</v>
      </c>
      <c r="C65" s="39">
        <f>((1+$L$18*(1-SQRT($B55/$C$18)))^2)</f>
        <v>1.377451145867071</v>
      </c>
      <c r="D65" s="50">
        <f>C65*$M$18*$B54/$B$7/$B$7/$B55/$B55</f>
        <v>0.6956969551544534</v>
      </c>
      <c r="E65" s="51">
        <f>$N$18*$B54/$B$7/$B55</f>
        <v>0.06538057750220717</v>
      </c>
      <c r="F65" s="36"/>
      <c r="G65" s="37">
        <f>FugacityZ(F59,7,B59:B65,D59:D65,E59:E65,$E$12:$K$18)</f>
        <v>0.05449160777254207</v>
      </c>
      <c r="H65" s="20">
        <f t="shared" si="14"/>
        <v>0.08610922704496707</v>
      </c>
      <c r="I65" s="4">
        <f t="shared" si="15"/>
        <v>0.003444369081798683</v>
      </c>
      <c r="J65" s="101">
        <f>I65/I66</f>
        <v>0.003444369148150711</v>
      </c>
      <c r="K65" s="102">
        <f>((1+$L$18*(1-SQRT($B55/$C$18)))^2)</f>
        <v>1.377451145867071</v>
      </c>
      <c r="L65" s="103">
        <f>K65*$M$18*$B54/$B$7/$B$7/$B55/$B55</f>
        <v>0.6956969551544534</v>
      </c>
      <c r="M65" s="104">
        <f>$N$18*$B54/$B$7/$B55</f>
        <v>0.06538057750220717</v>
      </c>
      <c r="N65" s="100"/>
      <c r="O65" s="95">
        <f>FugacityZ(N59,7,J59:J65,L59:L65,M59:M65,$E$12:$K$18)</f>
        <v>0.6327305953722334</v>
      </c>
    </row>
    <row r="66" spans="1:15" ht="15" customHeight="1" thickBot="1">
      <c r="A66" s="19" t="s">
        <v>4</v>
      </c>
      <c r="B66" s="39">
        <f>SUM(B59:B65)</f>
        <v>1</v>
      </c>
      <c r="C66" s="40"/>
      <c r="D66" s="39">
        <f>amixture(B59:B65,D59:D65,$E$12:$K$18)</f>
        <v>0.35083319981080285</v>
      </c>
      <c r="E66" s="41">
        <f>bmixture(B59:B65,E59:E65)</f>
        <v>0.0463356518990027</v>
      </c>
      <c r="F66" s="42"/>
      <c r="G66" s="42"/>
      <c r="H66" s="28"/>
      <c r="I66" s="30">
        <f>SUM(I59:I65)</f>
        <v>0.9999999807360869</v>
      </c>
      <c r="J66" s="102">
        <f>SUM(J59:J65)</f>
        <v>1</v>
      </c>
      <c r="K66" s="105"/>
      <c r="L66" s="102">
        <f>amixture(J59:J65,L59:L65,$E$12:$K$18)</f>
        <v>0.1478015134975713</v>
      </c>
      <c r="M66" s="106">
        <f>bmixture(J59:J65,M59:M65)</f>
        <v>0.03069193775036913</v>
      </c>
      <c r="N66" s="107"/>
      <c r="O66" s="107"/>
    </row>
    <row r="67" ht="15" customHeight="1"/>
    <row r="68" spans="1:15" ht="15" customHeight="1">
      <c r="A68" s="3" t="s">
        <v>1</v>
      </c>
      <c r="B68" s="43">
        <f>B54</f>
        <v>1624273.4665078016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5" customHeight="1">
      <c r="A69" s="3" t="s">
        <v>2</v>
      </c>
      <c r="B69" s="4">
        <f>B55</f>
        <v>300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5" customHeight="1" thickBot="1">
      <c r="A70" s="3"/>
      <c r="B70" s="3"/>
      <c r="C70" s="3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5" customHeight="1" thickBot="1">
      <c r="A71" s="3"/>
      <c r="B71" s="118" t="s">
        <v>16</v>
      </c>
      <c r="C71" s="119"/>
      <c r="D71" s="119"/>
      <c r="E71" s="119"/>
      <c r="F71" s="119"/>
      <c r="G71" s="120"/>
      <c r="H71" s="3"/>
      <c r="I71" s="3"/>
      <c r="J71" s="121" t="s">
        <v>17</v>
      </c>
      <c r="K71" s="122"/>
      <c r="L71" s="122"/>
      <c r="M71" s="122"/>
      <c r="N71" s="122"/>
      <c r="O71" s="123"/>
    </row>
    <row r="72" spans="1:15" ht="15" customHeight="1" thickBot="1">
      <c r="A72" s="19" t="s">
        <v>0</v>
      </c>
      <c r="B72" s="32" t="s">
        <v>22</v>
      </c>
      <c r="C72" s="33" t="s">
        <v>23</v>
      </c>
      <c r="D72" s="32" t="s">
        <v>14</v>
      </c>
      <c r="E72" s="34" t="s">
        <v>15</v>
      </c>
      <c r="F72" s="35" t="s">
        <v>20</v>
      </c>
      <c r="G72" s="85" t="s">
        <v>19</v>
      </c>
      <c r="H72" s="28" t="s">
        <v>26</v>
      </c>
      <c r="I72" s="30" t="s">
        <v>25</v>
      </c>
      <c r="J72" s="87" t="s">
        <v>24</v>
      </c>
      <c r="K72" s="88" t="s">
        <v>48</v>
      </c>
      <c r="L72" s="87" t="s">
        <v>14</v>
      </c>
      <c r="M72" s="89" t="s">
        <v>15</v>
      </c>
      <c r="N72" s="90" t="s">
        <v>21</v>
      </c>
      <c r="O72" s="91" t="s">
        <v>19</v>
      </c>
    </row>
    <row r="73" spans="1:15" ht="15" customHeight="1">
      <c r="A73" s="31" t="str">
        <f>A59</f>
        <v>Metano</v>
      </c>
      <c r="B73" s="44">
        <f>B59</f>
        <v>0.04</v>
      </c>
      <c r="C73" s="32">
        <f>((1+$L$12*(1-SQRT($B69/$C$12)))^2)</f>
        <v>0.7623371020943167</v>
      </c>
      <c r="D73" s="46">
        <f>C73*$M$12*$B68/$B$7/$B$7/$B69/$B69</f>
        <v>0.046440623968563785</v>
      </c>
      <c r="E73" s="47">
        <f>$N$12*$B68/$B$7/$B69</f>
        <v>0.019437282364430913</v>
      </c>
      <c r="F73" s="37">
        <f>SolLiquidaz(B73:B79,D73:D79,E73:E79,$E$12:$K$18)</f>
        <v>0.0680322717171356</v>
      </c>
      <c r="G73" s="37">
        <f>FugacityZ(F73,1,B73:B79,D73:D79,E73:E79,$E$12:$K$18)</f>
        <v>9.534734791625372</v>
      </c>
      <c r="H73" s="20">
        <f aca="true" t="shared" si="17" ref="H73:H79">G59/O59</f>
        <v>9.433323941994658</v>
      </c>
      <c r="I73" s="4">
        <f aca="true" t="shared" si="18" ref="I73:I79">H73*B73</f>
        <v>0.3773329576797863</v>
      </c>
      <c r="J73" s="92">
        <f>I73/I80</f>
        <v>0.3773329577238189</v>
      </c>
      <c r="K73" s="87">
        <f>((1+$L$12*(1-SQRT($B69/$C$12)))^2)</f>
        <v>0.7623371020943167</v>
      </c>
      <c r="L73" s="93">
        <f>K73*$M$12*$B68/$B$7/$B$7/$B69/$B69</f>
        <v>0.046440623968563785</v>
      </c>
      <c r="M73" s="94">
        <f>$N$12*$B68/$B$7/$B69</f>
        <v>0.019437282364430913</v>
      </c>
      <c r="N73" s="95">
        <f>SolVaporz(J73:J79,L73:L79,M73:M79,$E$12:$K$18)</f>
        <v>0.8728591368299232</v>
      </c>
      <c r="O73" s="95">
        <f>FugacityZ(N73,1,J73:J79,L73:L79,M73:M79,$E$12:$K$18)</f>
        <v>1.0107546269535126</v>
      </c>
    </row>
    <row r="74" spans="1:15" ht="15" customHeight="1">
      <c r="A74" s="31" t="str">
        <f aca="true" t="shared" si="19" ref="A74:B79">A60</f>
        <v>Etano</v>
      </c>
      <c r="B74" s="45">
        <f t="shared" si="19"/>
        <v>0.16</v>
      </c>
      <c r="C74" s="38">
        <f>((1+$L$13*(1-SQRT($B69/$C$13)))^2)</f>
        <v>1.0111414055455135</v>
      </c>
      <c r="D74" s="86">
        <f>C74*$M$13*$B68/$B$7/$B$7/$B69/$B69</f>
        <v>0.14926149976440467</v>
      </c>
      <c r="E74" s="49">
        <f>$N$13*$B68/$B$7/$B69</f>
        <v>0.02939720677332998</v>
      </c>
      <c r="F74" s="37"/>
      <c r="G74" s="37">
        <f>FugacityZ(F73,2,B73:B79,D73:D79,E73:E79,$E$12:$K$18)</f>
        <v>1.8078136951486004</v>
      </c>
      <c r="H74" s="20">
        <f t="shared" si="17"/>
        <v>2.0508312684140875</v>
      </c>
      <c r="I74" s="4">
        <f t="shared" si="18"/>
        <v>0.328133002946254</v>
      </c>
      <c r="J74" s="96">
        <f>I74/I80</f>
        <v>0.3281330029845453</v>
      </c>
      <c r="K74" s="97">
        <f>((1+$L$13*(1-SQRT($B69/$C$13)))^2)</f>
        <v>1.0111414055455135</v>
      </c>
      <c r="L74" s="98">
        <f>K74*$M$13*$B68/$B$7/$B$7/$B69/$B69</f>
        <v>0.14926149976440467</v>
      </c>
      <c r="M74" s="99">
        <f>$N$13*$B68/$B$7/$B69</f>
        <v>0.02939720677332998</v>
      </c>
      <c r="N74" s="95"/>
      <c r="O74" s="95">
        <f>FugacityZ(N73,2,J73:J79,L73:L79,M73:M79,$E$12:$K$18)</f>
        <v>0.8815028192034278</v>
      </c>
    </row>
    <row r="75" spans="1:15" ht="15" customHeight="1">
      <c r="A75" s="31" t="str">
        <f t="shared" si="19"/>
        <v>Propano</v>
      </c>
      <c r="B75" s="45">
        <f t="shared" si="19"/>
        <v>0.24</v>
      </c>
      <c r="C75" s="38">
        <f>((1+$L$14*(1-SQRT($B69/$C$14)))^2)</f>
        <v>1.1472378704964072</v>
      </c>
      <c r="D75" s="48">
        <f>C75*$M$14*$B68/$B$7/$B$7/$B69/$B69</f>
        <v>0.2849744473258616</v>
      </c>
      <c r="E75" s="49">
        <f>$N$14*$B68/$B$7/$B69</f>
        <v>0.04083905860627225</v>
      </c>
      <c r="F75" s="37"/>
      <c r="G75" s="37">
        <f>FugacityZ(F73,3,B73:B79,D73:D79,E73:E79,$E$12:$K$18)</f>
        <v>0.5381949054252788</v>
      </c>
      <c r="H75" s="20">
        <f t="shared" si="17"/>
        <v>0.6828599994329895</v>
      </c>
      <c r="I75" s="4">
        <f t="shared" si="18"/>
        <v>0.16388639986391748</v>
      </c>
      <c r="J75" s="96">
        <f>I75/I80</f>
        <v>0.1638863998830421</v>
      </c>
      <c r="K75" s="97">
        <f>((1+$L$14*(1-SQRT($B69/$C$14)))^2)</f>
        <v>1.1472378704964072</v>
      </c>
      <c r="L75" s="98">
        <f>K75*$M$14*$B68/$B$7/$B$7/$B69/$B69</f>
        <v>0.2849744473258616</v>
      </c>
      <c r="M75" s="99">
        <f>$N$14*$B68/$B$7/$B69</f>
        <v>0.04083905860627225</v>
      </c>
      <c r="N75" s="95"/>
      <c r="O75" s="95">
        <f>FugacityZ(N73,3,J73:J79,L73:L79,M73:M79,$E$12:$K$18)</f>
        <v>0.788145238519389</v>
      </c>
    </row>
    <row r="76" spans="1:15" ht="15" customHeight="1">
      <c r="A76" s="31" t="str">
        <f t="shared" si="19"/>
        <v>i-Butano</v>
      </c>
      <c r="B76" s="45">
        <f t="shared" si="19"/>
        <v>0.28</v>
      </c>
      <c r="C76" s="38">
        <f>((1+$L$15*(1-SQRT($B69/$C$15)))^2)</f>
        <v>1.2282030306524951</v>
      </c>
      <c r="D76" s="48">
        <f>C76*$M$15*$B68/$B$7/$B$7/$B69/$B69</f>
        <v>0.43267951454500964</v>
      </c>
      <c r="E76" s="49">
        <f>$N$15*$B68/$B$7/$B69</f>
        <v>0.05248224732314457</v>
      </c>
      <c r="F76" s="37"/>
      <c r="G76" s="37">
        <f>FugacityZ(F73,4,B73:B79,D73:D79,E73:E79,$E$12:$K$18)</f>
        <v>0.2167448787635383</v>
      </c>
      <c r="H76" s="20">
        <f t="shared" si="17"/>
        <v>0.30170938803597264</v>
      </c>
      <c r="I76" s="4">
        <f t="shared" si="18"/>
        <v>0.08447862865007234</v>
      </c>
      <c r="J76" s="96">
        <f>I76/I80</f>
        <v>0.08447862865993051</v>
      </c>
      <c r="K76" s="97">
        <f>((1+$L$15*(1-SQRT($B69/$C$15)))^2)</f>
        <v>1.2282030306524951</v>
      </c>
      <c r="L76" s="98">
        <f>K76*$M$15*$B68/$B$7/$B$7/$B69/$B69</f>
        <v>0.43267951454500964</v>
      </c>
      <c r="M76" s="99">
        <f>$N$15*$B68/$B$7/$B69</f>
        <v>0.05248224732314457</v>
      </c>
      <c r="N76" s="95"/>
      <c r="O76" s="95">
        <f>FugacityZ(N73,4,J73:J79,L73:L79,M73:M79,$E$12:$K$18)</f>
        <v>0.7183845616767462</v>
      </c>
    </row>
    <row r="77" spans="1:15" ht="15" customHeight="1">
      <c r="A77" s="31" t="str">
        <f t="shared" si="19"/>
        <v>n-Butano</v>
      </c>
      <c r="B77" s="45">
        <f t="shared" si="19"/>
        <v>0.14</v>
      </c>
      <c r="C77" s="38">
        <f>((1+$L$16*(1-SQRT($B69/$C$16)))^2)</f>
        <v>1.2679685906857454</v>
      </c>
      <c r="D77" s="48">
        <f>C77*$M$16*$B68/$B$7/$B$7/$B69/$B69</f>
        <v>0.46573410780168634</v>
      </c>
      <c r="E77" s="49">
        <f>$N$16*$B68/$B$7/$B69</f>
        <v>0.052534357643859685</v>
      </c>
      <c r="F77" s="37"/>
      <c r="G77" s="37">
        <f>FugacityZ(F73,5,B73:B79,D73:D79,E73:E79,$E$12:$K$18)</f>
        <v>0.1637851802832316</v>
      </c>
      <c r="H77" s="20">
        <f t="shared" si="17"/>
        <v>0.2323302969558395</v>
      </c>
      <c r="I77" s="4">
        <f t="shared" si="18"/>
        <v>0.03252624157381753</v>
      </c>
      <c r="J77" s="96">
        <f>I77/I80</f>
        <v>0.03252624157761316</v>
      </c>
      <c r="K77" s="97">
        <f>((1+$L$16*(1-SQRT($B69/$C$16)))^2)</f>
        <v>1.2679685906857454</v>
      </c>
      <c r="L77" s="98">
        <f>K77*$M$16*$B68/$B$7/$B$7/$B69/$B69</f>
        <v>0.46573410780168634</v>
      </c>
      <c r="M77" s="99">
        <f>$N$16*$B68/$B$7/$B69</f>
        <v>0.052534357643859685</v>
      </c>
      <c r="N77" s="95"/>
      <c r="O77" s="95">
        <f>FugacityZ(N73,5,J73:J79,L73:L79,M73:M79,$E$12:$K$18)</f>
        <v>0.7049617353752173</v>
      </c>
    </row>
    <row r="78" spans="1:15" ht="15" customHeight="1">
      <c r="A78" s="31" t="str">
        <f t="shared" si="19"/>
        <v>i-Pentano</v>
      </c>
      <c r="B78" s="45">
        <f t="shared" si="19"/>
        <v>0.1</v>
      </c>
      <c r="C78" s="38">
        <f>((1+$L$17*(1-SQRT($B69/$C$17)))^2)</f>
        <v>1.345179244574965</v>
      </c>
      <c r="D78" s="48">
        <f>C78*$M$17*$B68/$B$7/$B$7/$B69/$B69</f>
        <v>0.6507211032798885</v>
      </c>
      <c r="E78" s="49">
        <f>$N$17*$B68/$B$7/$B69</f>
        <v>0.06388171034478199</v>
      </c>
      <c r="F78" s="36"/>
      <c r="G78" s="37">
        <f>FugacityZ(F73,6,B73:B79,D73:D79,E73:E79,$E$12:$K$18)</f>
        <v>0.06536864140344921</v>
      </c>
      <c r="H78" s="20">
        <f t="shared" si="17"/>
        <v>0.10197915503705587</v>
      </c>
      <c r="I78" s="4">
        <f t="shared" si="18"/>
        <v>0.010197915503705588</v>
      </c>
      <c r="J78" s="96">
        <f>I78/I80</f>
        <v>0.010197915504895627</v>
      </c>
      <c r="K78" s="97">
        <f>((1+$L$17*(1-SQRT($B69/$C$17)))^2)</f>
        <v>1.345179244574965</v>
      </c>
      <c r="L78" s="98">
        <f>K78*$M$17*$B68/$B$7/$B$7/$B69/$B69</f>
        <v>0.6507211032798885</v>
      </c>
      <c r="M78" s="99">
        <f>$N$17*$B68/$B$7/$B69</f>
        <v>0.06388171034478199</v>
      </c>
      <c r="N78" s="100"/>
      <c r="O78" s="95">
        <f>FugacityZ(N73,6,J73:J79,L73:L79,M73:M79,$E$12:$K$18)</f>
        <v>0.6409934170196452</v>
      </c>
    </row>
    <row r="79" spans="1:15" ht="15" customHeight="1" thickBot="1">
      <c r="A79" s="31" t="str">
        <f t="shared" si="19"/>
        <v>n-Pentano</v>
      </c>
      <c r="B79" s="81">
        <f t="shared" si="19"/>
        <v>0.04</v>
      </c>
      <c r="C79" s="39">
        <f>((1+$L$18*(1-SQRT($B69/$C$18)))^2)</f>
        <v>1.377451145867071</v>
      </c>
      <c r="D79" s="50">
        <f>C79*$M$18*$B68/$B$7/$B$7/$B69/$B69</f>
        <v>0.6956969551544534</v>
      </c>
      <c r="E79" s="51">
        <f>$N$18*$B68/$B$7/$B69</f>
        <v>0.06538057750220717</v>
      </c>
      <c r="F79" s="36"/>
      <c r="G79" s="37">
        <f>FugacityZ(F73,7,B73:B79,D73:D79,E73:E79,$E$12:$K$18)</f>
        <v>0.05449160777254207</v>
      </c>
      <c r="H79" s="20">
        <f t="shared" si="17"/>
        <v>0.08612134164380786</v>
      </c>
      <c r="I79" s="4">
        <f t="shared" si="18"/>
        <v>0.0034448536657523143</v>
      </c>
      <c r="J79" s="101">
        <f>I79/I80</f>
        <v>0.003444853666154309</v>
      </c>
      <c r="K79" s="102">
        <f>((1+$L$18*(1-SQRT($B69/$C$18)))^2)</f>
        <v>1.377451145867071</v>
      </c>
      <c r="L79" s="103">
        <f>K79*$M$18*$B68/$B$7/$B$7/$B69/$B69</f>
        <v>0.6956969551544534</v>
      </c>
      <c r="M79" s="104">
        <f>$N$18*$B68/$B$7/$B69</f>
        <v>0.06538057750220717</v>
      </c>
      <c r="N79" s="100"/>
      <c r="O79" s="95">
        <f>FugacityZ(N73,7,J73:J79,L73:L79,M73:M79,$E$12:$K$18)</f>
        <v>0.6327236669435863</v>
      </c>
    </row>
    <row r="80" spans="1:15" ht="15" customHeight="1" thickBot="1">
      <c r="A80" s="19" t="s">
        <v>4</v>
      </c>
      <c r="B80" s="39">
        <f>SUM(B73:B79)</f>
        <v>1</v>
      </c>
      <c r="C80" s="40"/>
      <c r="D80" s="39">
        <f>amixture(B73:B79,D73:D79,$E$12:$K$18)</f>
        <v>0.35083319981080285</v>
      </c>
      <c r="E80" s="41">
        <f>bmixture(B73:B79,E73:E79)</f>
        <v>0.0463356518990027</v>
      </c>
      <c r="F80" s="42"/>
      <c r="G80" s="42"/>
      <c r="H80" s="28"/>
      <c r="I80" s="30">
        <f>SUM(I73:I79)</f>
        <v>0.9999999998833057</v>
      </c>
      <c r="J80" s="102">
        <f>SUM(J73:J79)</f>
        <v>0.9999999999999999</v>
      </c>
      <c r="K80" s="105"/>
      <c r="L80" s="102">
        <f>amixture(J73:J79,L73:L79,$E$12:$K$18)</f>
        <v>0.14780805285297122</v>
      </c>
      <c r="M80" s="106">
        <f>bmixture(J73:J79,M73:M79)</f>
        <v>0.030692547569376193</v>
      </c>
      <c r="N80" s="107"/>
      <c r="O80" s="107"/>
    </row>
    <row r="81" ht="15" customHeight="1"/>
    <row r="82" spans="1:15" ht="15" customHeight="1">
      <c r="A82" s="3" t="s">
        <v>1</v>
      </c>
      <c r="B82" s="43">
        <f>B68</f>
        <v>1624273.4665078016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5" customHeight="1">
      <c r="A83" s="3" t="s">
        <v>2</v>
      </c>
      <c r="B83" s="4">
        <f>B69</f>
        <v>300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5" customHeight="1" thickBot="1">
      <c r="A84" s="3"/>
      <c r="B84" s="3"/>
      <c r="C84" s="3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5" customHeight="1" thickBot="1">
      <c r="A85" s="3"/>
      <c r="B85" s="118" t="s">
        <v>16</v>
      </c>
      <c r="C85" s="119"/>
      <c r="D85" s="119"/>
      <c r="E85" s="119"/>
      <c r="F85" s="119"/>
      <c r="G85" s="120"/>
      <c r="H85" s="3"/>
      <c r="I85" s="3"/>
      <c r="J85" s="121" t="s">
        <v>17</v>
      </c>
      <c r="K85" s="122"/>
      <c r="L85" s="122"/>
      <c r="M85" s="122"/>
      <c r="N85" s="122"/>
      <c r="O85" s="123"/>
    </row>
    <row r="86" spans="1:15" ht="15" customHeight="1" thickBot="1">
      <c r="A86" s="19" t="s">
        <v>0</v>
      </c>
      <c r="B86" s="32" t="s">
        <v>22</v>
      </c>
      <c r="C86" s="33" t="s">
        <v>23</v>
      </c>
      <c r="D86" s="32" t="s">
        <v>14</v>
      </c>
      <c r="E86" s="34" t="s">
        <v>15</v>
      </c>
      <c r="F86" s="35" t="s">
        <v>20</v>
      </c>
      <c r="G86" s="85" t="s">
        <v>19</v>
      </c>
      <c r="H86" s="28" t="s">
        <v>26</v>
      </c>
      <c r="I86" s="30" t="s">
        <v>25</v>
      </c>
      <c r="J86" s="87" t="s">
        <v>24</v>
      </c>
      <c r="K86" s="88" t="s">
        <v>48</v>
      </c>
      <c r="L86" s="87" t="s">
        <v>14</v>
      </c>
      <c r="M86" s="89" t="s">
        <v>15</v>
      </c>
      <c r="N86" s="90" t="s">
        <v>21</v>
      </c>
      <c r="O86" s="91" t="s">
        <v>19</v>
      </c>
    </row>
    <row r="87" spans="1:15" ht="15" customHeight="1">
      <c r="A87" s="31" t="str">
        <f>A73</f>
        <v>Metano</v>
      </c>
      <c r="B87" s="44">
        <f>B73</f>
        <v>0.04</v>
      </c>
      <c r="C87" s="32">
        <f>((1+$L$12*(1-SQRT($B83/$C$12)))^2)</f>
        <v>0.7623371020943167</v>
      </c>
      <c r="D87" s="46">
        <f>C87*$M$12*$B82/$B$7/$B$7/$B83/$B83</f>
        <v>0.046440623968563785</v>
      </c>
      <c r="E87" s="47">
        <f>$N$12*$B82/$B$7/$B83</f>
        <v>0.019437282364430913</v>
      </c>
      <c r="F87" s="37">
        <f>SolLiquidaz(B87:B93,D87:D93,E87:E93,$E$12:$K$18)</f>
        <v>0.0680322717171356</v>
      </c>
      <c r="G87" s="37">
        <f>FugacityZ(F87,1,B87:B93,D87:D93,E87:E93,$E$12:$K$18)</f>
        <v>9.534734791625372</v>
      </c>
      <c r="H87" s="20">
        <f aca="true" t="shared" si="20" ref="H87:H93">G73/O73</f>
        <v>9.433283348267967</v>
      </c>
      <c r="I87" s="4">
        <f aca="true" t="shared" si="21" ref="I87:I93">H87*B87</f>
        <v>0.37733133393071866</v>
      </c>
      <c r="J87" s="92">
        <f>I87/I94</f>
        <v>0.3773313339309851</v>
      </c>
      <c r="K87" s="87">
        <f>((1+$L$12*(1-SQRT($B83/$C$12)))^2)</f>
        <v>0.7623371020943167</v>
      </c>
      <c r="L87" s="93">
        <f>K87*$M$12*$B82/$B$7/$B$7/$B83/$B83</f>
        <v>0.046440623968563785</v>
      </c>
      <c r="M87" s="94">
        <f>$N$12*$B82/$B$7/$B83</f>
        <v>0.019437282364430913</v>
      </c>
      <c r="N87" s="95">
        <f>SolVaporz(J87:J93,L87:L93,M87:M93,$E$12:$K$18)</f>
        <v>0.8728585611852631</v>
      </c>
      <c r="O87" s="95">
        <f>FugacityZ(N87,1,J87:J93,L87:L93,M87:M93,$E$12:$K$18)</f>
        <v>1.0107549655199706</v>
      </c>
    </row>
    <row r="88" spans="1:15" ht="15" customHeight="1">
      <c r="A88" s="31" t="str">
        <f aca="true" t="shared" si="22" ref="A88:B93">A74</f>
        <v>Etano</v>
      </c>
      <c r="B88" s="45">
        <f t="shared" si="22"/>
        <v>0.16</v>
      </c>
      <c r="C88" s="38">
        <f>((1+$L$13*(1-SQRT($B83/$C$13)))^2)</f>
        <v>1.0111414055455135</v>
      </c>
      <c r="D88" s="86">
        <f>C88*$M$13*$B82/$B$7/$B$7/$B83/$B83</f>
        <v>0.14926149976440467</v>
      </c>
      <c r="E88" s="49">
        <f>$N$13*$B82/$B$7/$B83</f>
        <v>0.02939720677332998</v>
      </c>
      <c r="F88" s="37"/>
      <c r="G88" s="37">
        <f>FugacityZ(F87,2,B87:B93,D87:D93,E87:E93,$E$12:$K$18)</f>
        <v>1.8078136951486004</v>
      </c>
      <c r="H88" s="20">
        <f t="shared" si="20"/>
        <v>2.0508314389535767</v>
      </c>
      <c r="I88" s="4">
        <f t="shared" si="21"/>
        <v>0.3281330302325723</v>
      </c>
      <c r="J88" s="96">
        <f>I88/I94</f>
        <v>0.32813303023280405</v>
      </c>
      <c r="K88" s="97">
        <f>((1+$L$13*(1-SQRT($B83/$C$13)))^2)</f>
        <v>1.0111414055455135</v>
      </c>
      <c r="L88" s="98">
        <f>K88*$M$13*$B82/$B$7/$B$7/$B83/$B83</f>
        <v>0.14926149976440467</v>
      </c>
      <c r="M88" s="99">
        <f>$N$13*$B82/$B$7/$B83</f>
        <v>0.02939720677332998</v>
      </c>
      <c r="N88" s="95"/>
      <c r="O88" s="95">
        <f>FugacityZ(N87,2,J87:J93,L87:L93,M87:M93,$E$12:$K$18)</f>
        <v>0.8815028135074701</v>
      </c>
    </row>
    <row r="89" spans="1:15" ht="15" customHeight="1">
      <c r="A89" s="31" t="str">
        <f t="shared" si="22"/>
        <v>Propano</v>
      </c>
      <c r="B89" s="45">
        <f t="shared" si="22"/>
        <v>0.24</v>
      </c>
      <c r="C89" s="38">
        <f>((1+$L$14*(1-SQRT($B83/$C$14)))^2)</f>
        <v>1.1472378704964072</v>
      </c>
      <c r="D89" s="48">
        <f>C89*$M$14*$B82/$B$7/$B$7/$B83/$B83</f>
        <v>0.2849744473258616</v>
      </c>
      <c r="E89" s="49">
        <f>$N$14*$B82/$B$7/$B83</f>
        <v>0.04083905860627225</v>
      </c>
      <c r="F89" s="37"/>
      <c r="G89" s="37">
        <f>FugacityZ(F87,3,B87:B93,D87:D93,E87:E93,$E$12:$K$18)</f>
        <v>0.5381949054252788</v>
      </c>
      <c r="H89" s="20">
        <f t="shared" si="20"/>
        <v>0.6828625983154231</v>
      </c>
      <c r="I89" s="4">
        <f t="shared" si="21"/>
        <v>0.16388702359570154</v>
      </c>
      <c r="J89" s="96">
        <f>I89/I94</f>
        <v>0.16388702359581728</v>
      </c>
      <c r="K89" s="97">
        <f>((1+$L$14*(1-SQRT($B83/$C$14)))^2)</f>
        <v>1.1472378704964072</v>
      </c>
      <c r="L89" s="98">
        <f>K89*$M$14*$B82/$B$7/$B$7/$B83/$B83</f>
        <v>0.2849744473258616</v>
      </c>
      <c r="M89" s="99">
        <f>$N$14*$B82/$B$7/$B83</f>
        <v>0.04083905860627225</v>
      </c>
      <c r="N89" s="95"/>
      <c r="O89" s="95">
        <f>FugacityZ(N87,3,J87:J93,L87:L93,M87:M93,$E$12:$K$18)</f>
        <v>0.7881450050452549</v>
      </c>
    </row>
    <row r="90" spans="1:15" ht="15" customHeight="1">
      <c r="A90" s="31" t="str">
        <f t="shared" si="22"/>
        <v>i-Butano</v>
      </c>
      <c r="B90" s="45">
        <f t="shared" si="22"/>
        <v>0.28</v>
      </c>
      <c r="C90" s="38">
        <f>((1+$L$15*(1-SQRT($B83/$C$15)))^2)</f>
        <v>1.2282030306524951</v>
      </c>
      <c r="D90" s="48">
        <f>C90*$M$15*$B82/$B$7/$B$7/$B83/$B83</f>
        <v>0.43267951454500964</v>
      </c>
      <c r="E90" s="49">
        <f>$N$15*$B82/$B$7/$B83</f>
        <v>0.05248224732314457</v>
      </c>
      <c r="F90" s="37"/>
      <c r="G90" s="37">
        <f>FugacityZ(F87,4,B87:B93,D87:D93,E87:E93,$E$12:$K$18)</f>
        <v>0.2167448787635383</v>
      </c>
      <c r="H90" s="20">
        <f t="shared" si="20"/>
        <v>0.3017114931557614</v>
      </c>
      <c r="I90" s="4">
        <f t="shared" si="21"/>
        <v>0.0844792180836132</v>
      </c>
      <c r="J90" s="96">
        <f>I90/I94</f>
        <v>0.08447921808367286</v>
      </c>
      <c r="K90" s="97">
        <f>((1+$L$15*(1-SQRT($B83/$C$15)))^2)</f>
        <v>1.2282030306524951</v>
      </c>
      <c r="L90" s="98">
        <f>K90*$M$15*$B82/$B$7/$B$7/$B83/$B83</f>
        <v>0.43267951454500964</v>
      </c>
      <c r="M90" s="99">
        <f>$N$15*$B82/$B$7/$B83</f>
        <v>0.05248224732314457</v>
      </c>
      <c r="N90" s="95"/>
      <c r="O90" s="95">
        <f>FugacityZ(N87,4,J87:J93,L87:L93,M87:M93,$E$12:$K$18)</f>
        <v>0.7183841715260695</v>
      </c>
    </row>
    <row r="91" spans="1:15" ht="15" customHeight="1">
      <c r="A91" s="31" t="str">
        <f t="shared" si="22"/>
        <v>n-Butano</v>
      </c>
      <c r="B91" s="45">
        <f t="shared" si="22"/>
        <v>0.14</v>
      </c>
      <c r="C91" s="38">
        <f>((1+$L$16*(1-SQRT($B83/$C$16)))^2)</f>
        <v>1.2679685906857454</v>
      </c>
      <c r="D91" s="48">
        <f>C91*$M$16*$B82/$B$7/$B$7/$B83/$B83</f>
        <v>0.46573410780168634</v>
      </c>
      <c r="E91" s="49">
        <f>$N$16*$B82/$B$7/$B83</f>
        <v>0.052534357643859685</v>
      </c>
      <c r="F91" s="37"/>
      <c r="G91" s="37">
        <f>FugacityZ(F87,5,B87:B93,D87:D93,E87:E93,$E$12:$K$18)</f>
        <v>0.1637851802832316</v>
      </c>
      <c r="H91" s="20">
        <f t="shared" si="20"/>
        <v>0.23233201472425535</v>
      </c>
      <c r="I91" s="4">
        <f t="shared" si="21"/>
        <v>0.03252648206139575</v>
      </c>
      <c r="J91" s="96">
        <f>I91/I94</f>
        <v>0.03252648206141872</v>
      </c>
      <c r="K91" s="97">
        <f>((1+$L$16*(1-SQRT($B83/$C$16)))^2)</f>
        <v>1.2679685906857454</v>
      </c>
      <c r="L91" s="98">
        <f>K91*$M$16*$B82/$B$7/$B$7/$B83/$B83</f>
        <v>0.46573410780168634</v>
      </c>
      <c r="M91" s="99">
        <f>$N$16*$B82/$B$7/$B83</f>
        <v>0.052534357643859685</v>
      </c>
      <c r="N91" s="95"/>
      <c r="O91" s="95">
        <f>FugacityZ(N87,5,J87:J93,L87:L93,M87:M93,$E$12:$K$18)</f>
        <v>0.704961329672199</v>
      </c>
    </row>
    <row r="92" spans="1:15" ht="15" customHeight="1">
      <c r="A92" s="31" t="str">
        <f t="shared" si="22"/>
        <v>i-Pentano</v>
      </c>
      <c r="B92" s="45">
        <f t="shared" si="22"/>
        <v>0.1</v>
      </c>
      <c r="C92" s="38">
        <f>((1+$L$17*(1-SQRT($B83/$C$17)))^2)</f>
        <v>1.345179244574965</v>
      </c>
      <c r="D92" s="48">
        <f>C92*$M$17*$B82/$B$7/$B$7/$B83/$B83</f>
        <v>0.6507211032798885</v>
      </c>
      <c r="E92" s="49">
        <f>$N$17*$B82/$B$7/$B83</f>
        <v>0.06388171034478199</v>
      </c>
      <c r="F92" s="36"/>
      <c r="G92" s="37">
        <f>FugacityZ(F87,6,B87:B93,D87:D93,E87:E93,$E$12:$K$18)</f>
        <v>0.06536864140344921</v>
      </c>
      <c r="H92" s="20">
        <f t="shared" si="20"/>
        <v>0.10198020707823555</v>
      </c>
      <c r="I92" s="4">
        <f t="shared" si="21"/>
        <v>0.010198020707823555</v>
      </c>
      <c r="J92" s="96">
        <f>I92/I94</f>
        <v>0.010198020707830758</v>
      </c>
      <c r="K92" s="97">
        <f>((1+$L$17*(1-SQRT($B83/$C$17)))^2)</f>
        <v>1.345179244574965</v>
      </c>
      <c r="L92" s="98">
        <f>K92*$M$17*$B82/$B$7/$B$7/$B83/$B83</f>
        <v>0.6507211032798885</v>
      </c>
      <c r="M92" s="99">
        <f>$N$17*$B82/$B$7/$B83</f>
        <v>0.06388171034478199</v>
      </c>
      <c r="N92" s="100"/>
      <c r="O92" s="95">
        <f>FugacityZ(N87,6,J87:J93,L87:L93,M87:M93,$E$12:$K$18)</f>
        <v>0.6409929023115576</v>
      </c>
    </row>
    <row r="93" spans="1:15" ht="15" customHeight="1" thickBot="1">
      <c r="A93" s="31" t="str">
        <f t="shared" si="22"/>
        <v>n-Pentano</v>
      </c>
      <c r="B93" s="81">
        <f t="shared" si="22"/>
        <v>0.04</v>
      </c>
      <c r="C93" s="39">
        <f>((1+$L$18*(1-SQRT($B83/$C$18)))^2)</f>
        <v>1.377451145867071</v>
      </c>
      <c r="D93" s="50">
        <f>C93*$M$18*$B82/$B$7/$B$7/$B83/$B83</f>
        <v>0.6956969551544534</v>
      </c>
      <c r="E93" s="51">
        <f>$N$18*$B82/$B$7/$B83</f>
        <v>0.06538057750220717</v>
      </c>
      <c r="F93" s="36"/>
      <c r="G93" s="37">
        <f>FugacityZ(F87,7,B87:B93,D87:D93,E87:E93,$E$12:$K$18)</f>
        <v>0.05449160777254207</v>
      </c>
      <c r="H93" s="20">
        <f t="shared" si="20"/>
        <v>0.08612228468672177</v>
      </c>
      <c r="I93" s="4">
        <f t="shared" si="21"/>
        <v>0.003444891387468871</v>
      </c>
      <c r="J93" s="101">
        <f>I93/I94</f>
        <v>0.003444891387471304</v>
      </c>
      <c r="K93" s="102">
        <f>((1+$L$18*(1-SQRT($B83/$C$18)))^2)</f>
        <v>1.377451145867071</v>
      </c>
      <c r="L93" s="103">
        <f>K93*$M$18*$B82/$B$7/$B$7/$B83/$B83</f>
        <v>0.6956969551544534</v>
      </c>
      <c r="M93" s="104">
        <f>$N$18*$B82/$B$7/$B83</f>
        <v>0.06538057750220717</v>
      </c>
      <c r="N93" s="100"/>
      <c r="O93" s="95">
        <f>FugacityZ(N87,7,J87:J93,L87:L93,M87:M93,$E$12:$K$18)</f>
        <v>0.63272312765491</v>
      </c>
    </row>
    <row r="94" spans="1:15" ht="15" customHeight="1" thickBot="1">
      <c r="A94" s="19" t="s">
        <v>4</v>
      </c>
      <c r="B94" s="39">
        <f>SUM(B87:B93)</f>
        <v>1</v>
      </c>
      <c r="C94" s="40"/>
      <c r="D94" s="39">
        <f>amixture(B87:B93,D87:D93,$E$12:$K$18)</f>
        <v>0.35083319981080285</v>
      </c>
      <c r="E94" s="41">
        <f>bmixture(B87:B93,E87:E93)</f>
        <v>0.0463356518990027</v>
      </c>
      <c r="F94" s="42"/>
      <c r="G94" s="42"/>
      <c r="H94" s="28"/>
      <c r="I94" s="30">
        <f>SUM(I87:I93)</f>
        <v>0.9999999999992938</v>
      </c>
      <c r="J94" s="102">
        <f>SUM(J87:J93)</f>
        <v>1.0000000000000002</v>
      </c>
      <c r="K94" s="105"/>
      <c r="L94" s="102">
        <f>amixture(J87:J93,L87:L93,$E$12:$K$18)</f>
        <v>0.14780856186442187</v>
      </c>
      <c r="M94" s="106">
        <f>bmixture(J87:J93,M87:M93)</f>
        <v>0.030692595034851437</v>
      </c>
      <c r="N94" s="107"/>
      <c r="O94" s="107"/>
    </row>
    <row r="95" ht="15" customHeight="1"/>
    <row r="96" spans="1:15" ht="15" customHeight="1">
      <c r="A96" s="3" t="s">
        <v>1</v>
      </c>
      <c r="B96" s="43">
        <f>B82</f>
        <v>1624273.4665078016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5" customHeight="1">
      <c r="A97" s="3" t="s">
        <v>2</v>
      </c>
      <c r="B97" s="4">
        <f>B83</f>
        <v>300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5" customHeight="1" thickBot="1">
      <c r="A98" s="3"/>
      <c r="B98" s="3"/>
      <c r="C98" s="3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5" customHeight="1" thickBot="1">
      <c r="A99" s="3"/>
      <c r="B99" s="118" t="s">
        <v>16</v>
      </c>
      <c r="C99" s="119"/>
      <c r="D99" s="119"/>
      <c r="E99" s="119"/>
      <c r="F99" s="119"/>
      <c r="G99" s="120"/>
      <c r="H99" s="3"/>
      <c r="I99" s="3"/>
      <c r="J99" s="121" t="s">
        <v>17</v>
      </c>
      <c r="K99" s="122"/>
      <c r="L99" s="122"/>
      <c r="M99" s="122"/>
      <c r="N99" s="122"/>
      <c r="O99" s="123"/>
    </row>
    <row r="100" spans="1:15" ht="15" customHeight="1" thickBot="1">
      <c r="A100" s="19" t="s">
        <v>0</v>
      </c>
      <c r="B100" s="32" t="s">
        <v>22</v>
      </c>
      <c r="C100" s="33" t="s">
        <v>23</v>
      </c>
      <c r="D100" s="32" t="s">
        <v>14</v>
      </c>
      <c r="E100" s="34" t="s">
        <v>15</v>
      </c>
      <c r="F100" s="35" t="s">
        <v>20</v>
      </c>
      <c r="G100" s="85" t="s">
        <v>19</v>
      </c>
      <c r="H100" s="28" t="s">
        <v>26</v>
      </c>
      <c r="I100" s="30" t="s">
        <v>25</v>
      </c>
      <c r="J100" s="87" t="s">
        <v>24</v>
      </c>
      <c r="K100" s="88" t="s">
        <v>48</v>
      </c>
      <c r="L100" s="87" t="s">
        <v>14</v>
      </c>
      <c r="M100" s="89" t="s">
        <v>15</v>
      </c>
      <c r="N100" s="90" t="s">
        <v>21</v>
      </c>
      <c r="O100" s="91" t="s">
        <v>19</v>
      </c>
    </row>
    <row r="101" spans="1:15" ht="15" customHeight="1">
      <c r="A101" s="31" t="str">
        <f>A87</f>
        <v>Metano</v>
      </c>
      <c r="B101" s="44">
        <f>B87</f>
        <v>0.04</v>
      </c>
      <c r="C101" s="32">
        <f>((1+$L$12*(1-SQRT($B97/$C$12)))^2)</f>
        <v>0.7623371020943167</v>
      </c>
      <c r="D101" s="46">
        <f>C101*$M$12*$B96/$B$7/$B$7/$B97/$B97</f>
        <v>0.046440623968563785</v>
      </c>
      <c r="E101" s="47">
        <f>$N$12*$B96/$B$7/$B97</f>
        <v>0.019437282364430913</v>
      </c>
      <c r="F101" s="37">
        <f>SolLiquidaz(B101:B107,D101:D107,E101:E107,$E$12:$K$18)</f>
        <v>0.0680322717171356</v>
      </c>
      <c r="G101" s="37">
        <f>FugacityZ(F101,1,B101:B107,D101:D107,E101:E107,$E$12:$K$18)</f>
        <v>9.534734791625372</v>
      </c>
      <c r="H101" s="20">
        <f aca="true" t="shared" si="23" ref="H101:H107">G87/O87</f>
        <v>9.433280188458282</v>
      </c>
      <c r="I101" s="4">
        <f aca="true" t="shared" si="24" ref="I101:I107">H101*B101</f>
        <v>0.37733120753833127</v>
      </c>
      <c r="J101" s="92">
        <f>I101/I108</f>
        <v>0.3773312075383325</v>
      </c>
      <c r="K101" s="87">
        <f>((1+$L$12*(1-SQRT($B97/$C$12)))^2)</f>
        <v>0.7623371020943167</v>
      </c>
      <c r="L101" s="93">
        <f>K101*$M$12*$B96/$B$7/$B$7/$B97/$B97</f>
        <v>0.046440623968563785</v>
      </c>
      <c r="M101" s="94">
        <f>$N$12*$B96/$B$7/$B97</f>
        <v>0.019437282364430913</v>
      </c>
      <c r="N101" s="95">
        <f>SolVaporz(J101:J107,L101:L107,M101:M107,$E$12:$K$18)</f>
        <v>0.8728585163779823</v>
      </c>
      <c r="O101" s="95">
        <f>FugacityZ(N101,1,J101:J107,L101:L107,M101:M107,$E$12:$K$18)</f>
        <v>1.0107549918735022</v>
      </c>
    </row>
    <row r="102" spans="1:15" ht="15" customHeight="1">
      <c r="A102" s="31" t="str">
        <f aca="true" t="shared" si="25" ref="A102:B107">A88</f>
        <v>Etano</v>
      </c>
      <c r="B102" s="45">
        <f t="shared" si="25"/>
        <v>0.16</v>
      </c>
      <c r="C102" s="38">
        <f>((1+$L$13*(1-SQRT($B97/$C$13)))^2)</f>
        <v>1.0111414055455135</v>
      </c>
      <c r="D102" s="86">
        <f>C102*$M$13*$B96/$B$7/$B$7/$B97/$B97</f>
        <v>0.14926149976440467</v>
      </c>
      <c r="E102" s="49">
        <f>$N$13*$B96/$B$7/$B97</f>
        <v>0.02939720677332998</v>
      </c>
      <c r="F102" s="37"/>
      <c r="G102" s="37">
        <f>FugacityZ(F101,2,B101:B107,D101:D107,E101:E107,$E$12:$K$18)</f>
        <v>1.8078136951486004</v>
      </c>
      <c r="H102" s="20">
        <f t="shared" si="23"/>
        <v>2.0508314522053204</v>
      </c>
      <c r="I102" s="4">
        <f t="shared" si="24"/>
        <v>0.32813303235285124</v>
      </c>
      <c r="J102" s="96">
        <f>I102/I108</f>
        <v>0.3281330323528523</v>
      </c>
      <c r="K102" s="97">
        <f>((1+$L$13*(1-SQRT($B97/$C$13)))^2)</f>
        <v>1.0111414055455135</v>
      </c>
      <c r="L102" s="98">
        <f>K102*$M$13*$B96/$B$7/$B$7/$B97/$B97</f>
        <v>0.14926149976440467</v>
      </c>
      <c r="M102" s="99">
        <f>$N$13*$B96/$B$7/$B97</f>
        <v>0.02939720677332998</v>
      </c>
      <c r="N102" s="95"/>
      <c r="O102" s="95">
        <f>FugacityZ(N101,2,J101:J107,L101:L107,M101:M107,$E$12:$K$18)</f>
        <v>0.8815028130641505</v>
      </c>
    </row>
    <row r="103" spans="1:15" ht="15" customHeight="1">
      <c r="A103" s="31" t="str">
        <f t="shared" si="25"/>
        <v>Propano</v>
      </c>
      <c r="B103" s="45">
        <f t="shared" si="25"/>
        <v>0.24</v>
      </c>
      <c r="C103" s="38">
        <f>((1+$L$14*(1-SQRT($B97/$C$14)))^2)</f>
        <v>1.1472378704964072</v>
      </c>
      <c r="D103" s="48">
        <f>C103*$M$14*$B96/$B$7/$B$7/$B97/$B97</f>
        <v>0.2849744473258616</v>
      </c>
      <c r="E103" s="49">
        <f>$N$14*$B96/$B$7/$B97</f>
        <v>0.04083905860627225</v>
      </c>
      <c r="F103" s="37"/>
      <c r="G103" s="37">
        <f>FugacityZ(F101,3,B101:B107,D101:D107,E101:E107,$E$12:$K$18)</f>
        <v>0.5381949054252788</v>
      </c>
      <c r="H103" s="20">
        <f t="shared" si="23"/>
        <v>0.6828628006014907</v>
      </c>
      <c r="I103" s="4">
        <f t="shared" si="24"/>
        <v>0.16388707214435777</v>
      </c>
      <c r="J103" s="96">
        <f>I103/I108</f>
        <v>0.1638870721443583</v>
      </c>
      <c r="K103" s="97">
        <f>((1+$L$14*(1-SQRT($B97/$C$14)))^2)</f>
        <v>1.1472378704964072</v>
      </c>
      <c r="L103" s="98">
        <f>K103*$M$14*$B96/$B$7/$B$7/$B97/$B97</f>
        <v>0.2849744473258616</v>
      </c>
      <c r="M103" s="99">
        <f>$N$14*$B96/$B$7/$B97</f>
        <v>0.04083905860627225</v>
      </c>
      <c r="N103" s="95"/>
      <c r="O103" s="95">
        <f>FugacityZ(N101,3,J101:J107,L101:L107,M101:M107,$E$12:$K$18)</f>
        <v>0.7881449868720489</v>
      </c>
    </row>
    <row r="104" spans="1:15" ht="15" customHeight="1">
      <c r="A104" s="31" t="str">
        <f t="shared" si="25"/>
        <v>i-Butano</v>
      </c>
      <c r="B104" s="45">
        <f t="shared" si="25"/>
        <v>0.28</v>
      </c>
      <c r="C104" s="38">
        <f>((1+$L$15*(1-SQRT($B97/$C$15)))^2)</f>
        <v>1.2282030306524951</v>
      </c>
      <c r="D104" s="48">
        <f>C104*$M$15*$B96/$B$7/$B$7/$B97/$B97</f>
        <v>0.43267951454500964</v>
      </c>
      <c r="E104" s="49">
        <f>$N$15*$B96/$B$7/$B97</f>
        <v>0.05248224732314457</v>
      </c>
      <c r="F104" s="37"/>
      <c r="G104" s="37">
        <f>FugacityZ(F101,4,B101:B107,D101:D107,E101:E107,$E$12:$K$18)</f>
        <v>0.2167448787635383</v>
      </c>
      <c r="H104" s="20">
        <f t="shared" si="23"/>
        <v>0.30171165701369135</v>
      </c>
      <c r="I104" s="4">
        <f t="shared" si="24"/>
        <v>0.08447926396383358</v>
      </c>
      <c r="J104" s="96">
        <f>I104/I108</f>
        <v>0.08447926396383386</v>
      </c>
      <c r="K104" s="97">
        <f>((1+$L$15*(1-SQRT($B97/$C$15)))^2)</f>
        <v>1.2282030306524951</v>
      </c>
      <c r="L104" s="98">
        <f>K104*$M$15*$B96/$B$7/$B$7/$B97/$B97</f>
        <v>0.43267951454500964</v>
      </c>
      <c r="M104" s="99">
        <f>$N$15*$B96/$B$7/$B97</f>
        <v>0.05248224732314457</v>
      </c>
      <c r="N104" s="95"/>
      <c r="O104" s="95">
        <f>FugacityZ(N101,4,J101:J107,L101:L107,M101:M107,$E$12:$K$18)</f>
        <v>0.7183841411574248</v>
      </c>
    </row>
    <row r="105" spans="1:15" ht="15" customHeight="1">
      <c r="A105" s="31" t="str">
        <f t="shared" si="25"/>
        <v>n-Butano</v>
      </c>
      <c r="B105" s="45">
        <f t="shared" si="25"/>
        <v>0.14</v>
      </c>
      <c r="C105" s="38">
        <f>((1+$L$16*(1-SQRT($B97/$C$16)))^2)</f>
        <v>1.2679685906857454</v>
      </c>
      <c r="D105" s="48">
        <f>C105*$M$16*$B96/$B$7/$B$7/$B97/$B97</f>
        <v>0.46573410780168634</v>
      </c>
      <c r="E105" s="49">
        <f>$N$16*$B96/$B$7/$B97</f>
        <v>0.052534357643859685</v>
      </c>
      <c r="F105" s="37"/>
      <c r="G105" s="37">
        <f>FugacityZ(F101,5,B101:B107,D101:D107,E101:E107,$E$12:$K$18)</f>
        <v>0.1637851802832316</v>
      </c>
      <c r="H105" s="20">
        <f t="shared" si="23"/>
        <v>0.2323321484305959</v>
      </c>
      <c r="I105" s="4">
        <f t="shared" si="24"/>
        <v>0.03252650078028343</v>
      </c>
      <c r="J105" s="96">
        <f>I105/I108</f>
        <v>0.03252650078028353</v>
      </c>
      <c r="K105" s="97">
        <f>((1+$L$16*(1-SQRT($B97/$C$16)))^2)</f>
        <v>1.2679685906857454</v>
      </c>
      <c r="L105" s="98">
        <f>K105*$M$16*$B96/$B$7/$B$7/$B97/$B97</f>
        <v>0.46573410780168634</v>
      </c>
      <c r="M105" s="99">
        <f>$N$16*$B96/$B$7/$B97</f>
        <v>0.052534357643859685</v>
      </c>
      <c r="N105" s="95"/>
      <c r="O105" s="95">
        <f>FugacityZ(N101,5,J101:J107,L101:L107,M101:M107,$E$12:$K$18)</f>
        <v>0.7049612980929754</v>
      </c>
    </row>
    <row r="106" spans="1:15" ht="15" customHeight="1">
      <c r="A106" s="31" t="str">
        <f t="shared" si="25"/>
        <v>i-Pentano</v>
      </c>
      <c r="B106" s="45">
        <f t="shared" si="25"/>
        <v>0.1</v>
      </c>
      <c r="C106" s="38">
        <f>((1+$L$17*(1-SQRT($B97/$C$17)))^2)</f>
        <v>1.345179244574965</v>
      </c>
      <c r="D106" s="48">
        <f>C106*$M$17*$B96/$B$7/$B$7/$B97/$B97</f>
        <v>0.6507211032798885</v>
      </c>
      <c r="E106" s="49">
        <f>$N$17*$B96/$B$7/$B97</f>
        <v>0.06388171034478199</v>
      </c>
      <c r="F106" s="36"/>
      <c r="G106" s="37">
        <f>FugacityZ(F101,6,B101:B107,D101:D107,E101:E107,$E$12:$K$18)</f>
        <v>0.06536864140344921</v>
      </c>
      <c r="H106" s="20">
        <f t="shared" si="23"/>
        <v>0.10198028896687607</v>
      </c>
      <c r="I106" s="4">
        <f t="shared" si="24"/>
        <v>0.010198028896687607</v>
      </c>
      <c r="J106" s="96">
        <f>I106/I108</f>
        <v>0.01019802889668764</v>
      </c>
      <c r="K106" s="97">
        <f>((1+$L$17*(1-SQRT($B97/$C$17)))^2)</f>
        <v>1.345179244574965</v>
      </c>
      <c r="L106" s="98">
        <f>K106*$M$17*$B96/$B$7/$B$7/$B97/$B97</f>
        <v>0.6507211032798885</v>
      </c>
      <c r="M106" s="99">
        <f>$N$17*$B96/$B$7/$B97</f>
        <v>0.06388171034478199</v>
      </c>
      <c r="N106" s="100"/>
      <c r="O106" s="95">
        <f>FugacityZ(N101,6,J101:J107,L101:L107,M101:M107,$E$12:$K$18)</f>
        <v>0.6409928622475575</v>
      </c>
    </row>
    <row r="107" spans="1:15" ht="15" customHeight="1" thickBot="1">
      <c r="A107" s="31" t="str">
        <f t="shared" si="25"/>
        <v>n-Pentano</v>
      </c>
      <c r="B107" s="81">
        <f t="shared" si="25"/>
        <v>0.04</v>
      </c>
      <c r="C107" s="39">
        <f>((1+$L$18*(1-SQRT($B97/$C$18)))^2)</f>
        <v>1.377451145867071</v>
      </c>
      <c r="D107" s="50">
        <f>C107*$M$18*$B96/$B$7/$B$7/$B97/$B97</f>
        <v>0.6956969551544534</v>
      </c>
      <c r="E107" s="51">
        <f>$N$18*$B96/$B$7/$B97</f>
        <v>0.06538057750220717</v>
      </c>
      <c r="F107" s="36"/>
      <c r="G107" s="37">
        <f>FugacityZ(F101,7,B101:B107,D101:D107,E101:E107,$E$12:$K$18)</f>
        <v>0.05449160777254207</v>
      </c>
      <c r="H107" s="20">
        <f t="shared" si="23"/>
        <v>0.08612235809129777</v>
      </c>
      <c r="I107" s="4">
        <f t="shared" si="24"/>
        <v>0.003444894323651911</v>
      </c>
      <c r="J107" s="101">
        <f>I107/I108</f>
        <v>0.003444894323651922</v>
      </c>
      <c r="K107" s="102">
        <f>((1+$L$18*(1-SQRT($B97/$C$18)))^2)</f>
        <v>1.377451145867071</v>
      </c>
      <c r="L107" s="103">
        <f>K107*$M$18*$B96/$B$7/$B$7/$B97/$B97</f>
        <v>0.6956969551544534</v>
      </c>
      <c r="M107" s="104">
        <f>$N$18*$B96/$B$7/$B97</f>
        <v>0.06538057750220717</v>
      </c>
      <c r="N107" s="100"/>
      <c r="O107" s="95">
        <f>FugacityZ(N101,7,J101:J107,L101:L107,M101:M107,$E$12:$K$18)</f>
        <v>0.6327230856775983</v>
      </c>
    </row>
    <row r="108" spans="1:15" ht="15" customHeight="1" thickBot="1">
      <c r="A108" s="19" t="s">
        <v>4</v>
      </c>
      <c r="B108" s="39">
        <f>SUM(B101:B107)</f>
        <v>1</v>
      </c>
      <c r="C108" s="40"/>
      <c r="D108" s="39">
        <f>amixture(B101:B107,D101:D107,$E$12:$K$18)</f>
        <v>0.35083319981080285</v>
      </c>
      <c r="E108" s="41">
        <f>bmixture(B101:B107,E101:E107)</f>
        <v>0.0463356518990027</v>
      </c>
      <c r="F108" s="42"/>
      <c r="G108" s="42"/>
      <c r="H108" s="28"/>
      <c r="I108" s="30">
        <f>SUM(I101:I107)</f>
        <v>0.9999999999999968</v>
      </c>
      <c r="J108" s="102">
        <f>SUM(J101:J107)</f>
        <v>1</v>
      </c>
      <c r="K108" s="105"/>
      <c r="L108" s="102">
        <f>amixture(J101:J107,L101:L107,$E$12:$K$18)</f>
        <v>0.1478086014850493</v>
      </c>
      <c r="M108" s="106">
        <f>bmixture(J101:J107,M101:M107)</f>
        <v>0.030692598729486834</v>
      </c>
      <c r="N108" s="107"/>
      <c r="O108" s="107"/>
    </row>
    <row r="109" ht="15" customHeight="1"/>
    <row r="110" spans="1:15" ht="15" customHeight="1">
      <c r="A110" s="3" t="s">
        <v>1</v>
      </c>
      <c r="B110" s="43">
        <f>B96</f>
        <v>1624273.4665078016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5" customHeight="1">
      <c r="A111" s="3" t="s">
        <v>2</v>
      </c>
      <c r="B111" s="4">
        <f>B97</f>
        <v>300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5" customHeight="1" thickBot="1">
      <c r="A112" s="3"/>
      <c r="B112" s="3"/>
      <c r="C112" s="3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5" customHeight="1" thickBot="1">
      <c r="A113" s="3"/>
      <c r="B113" s="118" t="s">
        <v>16</v>
      </c>
      <c r="C113" s="119"/>
      <c r="D113" s="119"/>
      <c r="E113" s="119"/>
      <c r="F113" s="119"/>
      <c r="G113" s="120"/>
      <c r="H113" s="3"/>
      <c r="I113" s="3"/>
      <c r="J113" s="121" t="s">
        <v>17</v>
      </c>
      <c r="K113" s="122"/>
      <c r="L113" s="122"/>
      <c r="M113" s="122"/>
      <c r="N113" s="122"/>
      <c r="O113" s="123"/>
    </row>
    <row r="114" spans="1:15" ht="15" customHeight="1" thickBot="1">
      <c r="A114" s="19" t="s">
        <v>0</v>
      </c>
      <c r="B114" s="32" t="s">
        <v>22</v>
      </c>
      <c r="C114" s="33" t="s">
        <v>23</v>
      </c>
      <c r="D114" s="32" t="s">
        <v>14</v>
      </c>
      <c r="E114" s="34" t="s">
        <v>15</v>
      </c>
      <c r="F114" s="35" t="s">
        <v>20</v>
      </c>
      <c r="G114" s="85" t="s">
        <v>19</v>
      </c>
      <c r="H114" s="28" t="s">
        <v>26</v>
      </c>
      <c r="I114" s="30" t="s">
        <v>25</v>
      </c>
      <c r="J114" s="87" t="s">
        <v>24</v>
      </c>
      <c r="K114" s="88" t="s">
        <v>48</v>
      </c>
      <c r="L114" s="87" t="s">
        <v>14</v>
      </c>
      <c r="M114" s="89" t="s">
        <v>15</v>
      </c>
      <c r="N114" s="90" t="s">
        <v>21</v>
      </c>
      <c r="O114" s="91" t="s">
        <v>19</v>
      </c>
    </row>
    <row r="115" spans="1:15" ht="15" customHeight="1">
      <c r="A115" s="31" t="str">
        <f aca="true" t="shared" si="26" ref="A115:B121">A101</f>
        <v>Metano</v>
      </c>
      <c r="B115" s="44">
        <f>B101</f>
        <v>0.04</v>
      </c>
      <c r="C115" s="32">
        <f>((1+$L$12*(1-SQRT($B111/$C$12)))^2)</f>
        <v>0.7623371020943167</v>
      </c>
      <c r="D115" s="46">
        <f>C115*$M$12*$B110/$B$7/$B$7/$B111/$B111</f>
        <v>0.046440623968563785</v>
      </c>
      <c r="E115" s="47">
        <f>$N$12*$B110/$B$7/$B111</f>
        <v>0.019437282364430913</v>
      </c>
      <c r="F115" s="37">
        <f>SolLiquidaz(B115:B121,D115:D121,E115:E121,$E$12:$K$18)</f>
        <v>0.0680322717171356</v>
      </c>
      <c r="G115" s="37">
        <f>FugacityZ(F115,1,B115:B121,D115:D121,E115:E121,$E$12:$K$18)</f>
        <v>9.534734791625372</v>
      </c>
      <c r="H115" s="20">
        <f aca="true" t="shared" si="27" ref="H115:H121">G101/O101</f>
        <v>9.433279942503278</v>
      </c>
      <c r="I115" s="4">
        <f aca="true" t="shared" si="28" ref="I115:I121">H115*B115</f>
        <v>0.3773311977001311</v>
      </c>
      <c r="J115" s="92">
        <f>I115/I122</f>
        <v>0.37733119770013085</v>
      </c>
      <c r="K115" s="87">
        <f>((1+$L$12*(1-SQRT($B111/$C$12)))^2)</f>
        <v>0.7623371020943167</v>
      </c>
      <c r="L115" s="93">
        <f>K115*$M$12*$B110/$B$7/$B$7/$B111/$B111</f>
        <v>0.046440623968563785</v>
      </c>
      <c r="M115" s="94">
        <f>$N$12*$B110/$B$7/$B111</f>
        <v>0.019437282364430913</v>
      </c>
      <c r="N115" s="95">
        <f>SolVaporz(J115:J121,L115:L121,M115:M121,$E$12:$K$18)</f>
        <v>0.8728585128902551</v>
      </c>
      <c r="O115" s="95">
        <f>FugacityZ(N115,1,J115:J121,L115:L121,M115:M121,$E$12:$K$18)</f>
        <v>1.010754993924819</v>
      </c>
    </row>
    <row r="116" spans="1:15" ht="15" customHeight="1">
      <c r="A116" s="31" t="str">
        <f t="shared" si="26"/>
        <v>Etano</v>
      </c>
      <c r="B116" s="45">
        <f t="shared" si="26"/>
        <v>0.16</v>
      </c>
      <c r="C116" s="38">
        <f>((1+$L$13*(1-SQRT($B111/$C$13)))^2)</f>
        <v>1.0111414055455135</v>
      </c>
      <c r="D116" s="86">
        <f>C116*$M$13*$B110/$B$7/$B$7/$B111/$B111</f>
        <v>0.14926149976440467</v>
      </c>
      <c r="E116" s="49">
        <f>$N$13*$B110/$B$7/$B111</f>
        <v>0.02939720677332998</v>
      </c>
      <c r="F116" s="37"/>
      <c r="G116" s="37">
        <f>FugacityZ(F115,2,B115:B121,D115:D121,E115:E121,$E$12:$K$18)</f>
        <v>1.8078136951486004</v>
      </c>
      <c r="H116" s="20">
        <f t="shared" si="27"/>
        <v>2.050831453236711</v>
      </c>
      <c r="I116" s="4">
        <f t="shared" si="28"/>
        <v>0.32813303251787374</v>
      </c>
      <c r="J116" s="96">
        <f>I116/I122</f>
        <v>0.3281330325178735</v>
      </c>
      <c r="K116" s="97">
        <f>((1+$L$13*(1-SQRT($B111/$C$13)))^2)</f>
        <v>1.0111414055455135</v>
      </c>
      <c r="L116" s="98">
        <f>K116*$M$13*$B110/$B$7/$B$7/$B111/$B111</f>
        <v>0.14926149976440467</v>
      </c>
      <c r="M116" s="99">
        <f>$N$13*$B110/$B$7/$B111</f>
        <v>0.02939720677332998</v>
      </c>
      <c r="N116" s="95"/>
      <c r="O116" s="95">
        <f>FugacityZ(N115,2,J115:J121,L115:L121,M115:M121,$E$12:$K$18)</f>
        <v>0.8815028130296433</v>
      </c>
    </row>
    <row r="117" spans="1:15" ht="15" customHeight="1">
      <c r="A117" s="31" t="str">
        <f t="shared" si="26"/>
        <v>Propano</v>
      </c>
      <c r="B117" s="45">
        <f t="shared" si="26"/>
        <v>0.24</v>
      </c>
      <c r="C117" s="38">
        <f>((1+$L$14*(1-SQRT($B111/$C$14)))^2)</f>
        <v>1.1472378704964072</v>
      </c>
      <c r="D117" s="48">
        <f>C117*$M$14*$B110/$B$7/$B$7/$B111/$B111</f>
        <v>0.2849744473258616</v>
      </c>
      <c r="E117" s="49">
        <f>$N$14*$B110/$B$7/$B111</f>
        <v>0.04083905860627225</v>
      </c>
      <c r="F117" s="37"/>
      <c r="G117" s="37">
        <f>FugacityZ(F115,3,B115:B121,D115:D121,E115:E121,$E$12:$K$18)</f>
        <v>0.5381949054252788</v>
      </c>
      <c r="H117" s="20">
        <f t="shared" si="27"/>
        <v>0.6828628163470788</v>
      </c>
      <c r="I117" s="4">
        <f t="shared" si="28"/>
        <v>0.1638870759232989</v>
      </c>
      <c r="J117" s="96">
        <f>I117/I122</f>
        <v>0.1638870759232988</v>
      </c>
      <c r="K117" s="97">
        <f>((1+$L$14*(1-SQRT($B111/$C$14)))^2)</f>
        <v>1.1472378704964072</v>
      </c>
      <c r="L117" s="98">
        <f>K117*$M$14*$B110/$B$7/$B$7/$B111/$B111</f>
        <v>0.2849744473258616</v>
      </c>
      <c r="M117" s="99">
        <f>$N$14*$B110/$B$7/$B111</f>
        <v>0.04083905860627225</v>
      </c>
      <c r="N117" s="95"/>
      <c r="O117" s="95">
        <f>FugacityZ(N115,3,J115:J121,L115:L121,M115:M121,$E$12:$K$18)</f>
        <v>0.7881449854574759</v>
      </c>
    </row>
    <row r="118" spans="1:15" ht="15" customHeight="1">
      <c r="A118" s="31" t="str">
        <f t="shared" si="26"/>
        <v>i-Butano</v>
      </c>
      <c r="B118" s="45">
        <f t="shared" si="26"/>
        <v>0.28</v>
      </c>
      <c r="C118" s="38">
        <f>((1+$L$15*(1-SQRT($B111/$C$15)))^2)</f>
        <v>1.2282030306524951</v>
      </c>
      <c r="D118" s="48">
        <f>C118*$M$15*$B110/$B$7/$B$7/$B111/$B111</f>
        <v>0.43267951454500964</v>
      </c>
      <c r="E118" s="49">
        <f>$N$15*$B110/$B$7/$B111</f>
        <v>0.05248224732314457</v>
      </c>
      <c r="F118" s="37"/>
      <c r="G118" s="37">
        <f>FugacityZ(F115,4,B115:B121,D115:D121,E115:E121,$E$12:$K$18)</f>
        <v>0.2167448787635383</v>
      </c>
      <c r="H118" s="20">
        <f t="shared" si="27"/>
        <v>0.3017116697681128</v>
      </c>
      <c r="I118" s="4">
        <f t="shared" si="28"/>
        <v>0.0844792675350716</v>
      </c>
      <c r="J118" s="96">
        <f>I118/I122</f>
        <v>0.08447926753507154</v>
      </c>
      <c r="K118" s="97">
        <f>((1+$L$15*(1-SQRT($B111/$C$15)))^2)</f>
        <v>1.2282030306524951</v>
      </c>
      <c r="L118" s="98">
        <f>K118*$M$15*$B110/$B$7/$B$7/$B111/$B111</f>
        <v>0.43267951454500964</v>
      </c>
      <c r="M118" s="99">
        <f>$N$15*$B110/$B$7/$B111</f>
        <v>0.05248224732314457</v>
      </c>
      <c r="N118" s="95"/>
      <c r="O118" s="95">
        <f>FugacityZ(N115,4,J115:J121,L115:L121,M115:M121,$E$12:$K$18)</f>
        <v>0.7183841387935783</v>
      </c>
    </row>
    <row r="119" spans="1:15" ht="15" customHeight="1">
      <c r="A119" s="31" t="str">
        <f t="shared" si="26"/>
        <v>n-Butano</v>
      </c>
      <c r="B119" s="45">
        <f t="shared" si="26"/>
        <v>0.14</v>
      </c>
      <c r="C119" s="38">
        <f>((1+$L$16*(1-SQRT($B111/$C$16)))^2)</f>
        <v>1.2679685906857454</v>
      </c>
      <c r="D119" s="48">
        <f>C119*$M$16*$B110/$B$7/$B$7/$B111/$B111</f>
        <v>0.46573410780168634</v>
      </c>
      <c r="E119" s="49">
        <f>$N$16*$B110/$B$7/$B111</f>
        <v>0.052534357643859685</v>
      </c>
      <c r="F119" s="37"/>
      <c r="G119" s="37">
        <f>FugacityZ(F115,5,B115:B121,D115:D121,E115:E121,$E$12:$K$18)</f>
        <v>0.1637851802832316</v>
      </c>
      <c r="H119" s="20">
        <f t="shared" si="27"/>
        <v>0.23233215883807345</v>
      </c>
      <c r="I119" s="4">
        <f t="shared" si="28"/>
        <v>0.032526502237330286</v>
      </c>
      <c r="J119" s="96">
        <f>I119/I122</f>
        <v>0.032526502237330265</v>
      </c>
      <c r="K119" s="97">
        <f>((1+$L$16*(1-SQRT($B111/$C$16)))^2)</f>
        <v>1.2679685906857454</v>
      </c>
      <c r="L119" s="98">
        <f>K119*$M$16*$B110/$B$7/$B$7/$B111/$B111</f>
        <v>0.46573410780168634</v>
      </c>
      <c r="M119" s="99">
        <f>$N$16*$B110/$B$7/$B111</f>
        <v>0.052534357643859685</v>
      </c>
      <c r="N119" s="95"/>
      <c r="O119" s="95">
        <f>FugacityZ(N115,5,J115:J121,L115:L121,M115:M121,$E$12:$K$18)</f>
        <v>0.7049612956348995</v>
      </c>
    </row>
    <row r="120" spans="1:15" ht="15" customHeight="1">
      <c r="A120" s="31" t="str">
        <f t="shared" si="26"/>
        <v>i-Pentano</v>
      </c>
      <c r="B120" s="45">
        <f t="shared" si="26"/>
        <v>0.1</v>
      </c>
      <c r="C120" s="38">
        <f>((1+$L$17*(1-SQRT($B111/$C$17)))^2)</f>
        <v>1.345179244574965</v>
      </c>
      <c r="D120" s="48">
        <f>C120*$M$17*$B110/$B$7/$B$7/$B111/$B111</f>
        <v>0.6507211032798885</v>
      </c>
      <c r="E120" s="49">
        <f>$N$17*$B110/$B$7/$B111</f>
        <v>0.06388171034478199</v>
      </c>
      <c r="F120" s="36"/>
      <c r="G120" s="37">
        <f>FugacityZ(F115,6,B115:B121,D115:D121,E115:E121,$E$12:$K$18)</f>
        <v>0.06536864140344921</v>
      </c>
      <c r="H120" s="20">
        <f t="shared" si="27"/>
        <v>0.10198029534095378</v>
      </c>
      <c r="I120" s="4">
        <f t="shared" si="28"/>
        <v>0.010198029534095378</v>
      </c>
      <c r="J120" s="96">
        <f>I120/I122</f>
        <v>0.010198029534095371</v>
      </c>
      <c r="K120" s="97">
        <f>((1+$L$17*(1-SQRT($B111/$C$17)))^2)</f>
        <v>1.345179244574965</v>
      </c>
      <c r="L120" s="98">
        <f>K120*$M$17*$B110/$B$7/$B$7/$B111/$B111</f>
        <v>0.6507211032798885</v>
      </c>
      <c r="M120" s="99">
        <f>$N$17*$B110/$B$7/$B111</f>
        <v>0.06388171034478199</v>
      </c>
      <c r="N120" s="100"/>
      <c r="O120" s="95">
        <f>FugacityZ(N115,6,J115:J121,L115:L121,M115:M121,$E$12:$K$18)</f>
        <v>0.64099285912904</v>
      </c>
    </row>
    <row r="121" spans="1:15" ht="15" customHeight="1" thickBot="1">
      <c r="A121" s="31" t="str">
        <f t="shared" si="26"/>
        <v>n-Pentano</v>
      </c>
      <c r="B121" s="81">
        <f t="shared" si="26"/>
        <v>0.04</v>
      </c>
      <c r="C121" s="39">
        <f>((1+$L$18*(1-SQRT($B111/$C$18)))^2)</f>
        <v>1.377451145867071</v>
      </c>
      <c r="D121" s="50">
        <f>C121*$M$18*$B110/$B$7/$B$7/$B111/$B111</f>
        <v>0.6956969551544534</v>
      </c>
      <c r="E121" s="51">
        <f>$N$18*$B110/$B$7/$B111</f>
        <v>0.06538057750220717</v>
      </c>
      <c r="F121" s="36"/>
      <c r="G121" s="37">
        <f>FugacityZ(F115,7,B115:B121,D115:D121,E115:E121,$E$12:$K$18)</f>
        <v>0.05449160777254207</v>
      </c>
      <c r="H121" s="20">
        <f t="shared" si="27"/>
        <v>0.08612236380499015</v>
      </c>
      <c r="I121" s="4">
        <f t="shared" si="28"/>
        <v>0.003444894552199606</v>
      </c>
      <c r="J121" s="101">
        <f>I121/I122</f>
        <v>0.0034448945521996037</v>
      </c>
      <c r="K121" s="102">
        <f>((1+$L$18*(1-SQRT($B111/$C$18)))^2)</f>
        <v>1.377451145867071</v>
      </c>
      <c r="L121" s="103">
        <f>K121*$M$18*$B110/$B$7/$B$7/$B111/$B111</f>
        <v>0.6956969551544534</v>
      </c>
      <c r="M121" s="104">
        <f>$N$18*$B110/$B$7/$B111</f>
        <v>0.06538057750220717</v>
      </c>
      <c r="N121" s="100"/>
      <c r="O121" s="95">
        <f>FugacityZ(N115,7,J115:J121,L115:L121,M115:M121,$E$12:$K$18)</f>
        <v>0.6327230824101516</v>
      </c>
    </row>
    <row r="122" spans="1:15" ht="15" customHeight="1" thickBot="1">
      <c r="A122" s="19" t="s">
        <v>4</v>
      </c>
      <c r="B122" s="39">
        <f>SUM(B115:B121)</f>
        <v>1</v>
      </c>
      <c r="C122" s="40"/>
      <c r="D122" s="39">
        <f>amixture(B115:B121,D115:D121,$E$12:$K$18)</f>
        <v>0.35083319981080285</v>
      </c>
      <c r="E122" s="41">
        <f>bmixture(B115:B121,E115:E121)</f>
        <v>0.0463356518990027</v>
      </c>
      <c r="F122" s="42"/>
      <c r="G122" s="42"/>
      <c r="H122" s="28"/>
      <c r="I122" s="30">
        <f>SUM(I115:I121)</f>
        <v>1.0000000000000007</v>
      </c>
      <c r="J122" s="102">
        <f>SUM(J115:J121)</f>
        <v>0.9999999999999998</v>
      </c>
      <c r="K122" s="105"/>
      <c r="L122" s="102">
        <f>amixture(J115:J121,L115:L121,$E$12:$K$18)</f>
        <v>0.14780860456905565</v>
      </c>
      <c r="M122" s="106">
        <f>bmixture(J115:J121,M115:M121)</f>
        <v>0.03069259901707133</v>
      </c>
      <c r="N122" s="107"/>
      <c r="O122" s="107"/>
    </row>
    <row r="124" spans="1:15" ht="15" customHeight="1">
      <c r="A124" s="3" t="s">
        <v>1</v>
      </c>
      <c r="B124" s="43">
        <f>B110</f>
        <v>1624273.4665078016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5" customHeight="1">
      <c r="A125" s="3" t="s">
        <v>2</v>
      </c>
      <c r="B125" s="4">
        <f>B111</f>
        <v>300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5" customHeight="1" thickBot="1">
      <c r="A126" s="3"/>
      <c r="B126" s="3"/>
      <c r="C126" s="3"/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5" customHeight="1" thickBot="1">
      <c r="A127" s="3"/>
      <c r="B127" s="118" t="s">
        <v>16</v>
      </c>
      <c r="C127" s="119"/>
      <c r="D127" s="119"/>
      <c r="E127" s="119"/>
      <c r="F127" s="119"/>
      <c r="G127" s="120"/>
      <c r="H127" s="3"/>
      <c r="I127" s="3"/>
      <c r="J127" s="121" t="s">
        <v>17</v>
      </c>
      <c r="K127" s="122"/>
      <c r="L127" s="122"/>
      <c r="M127" s="122"/>
      <c r="N127" s="122"/>
      <c r="O127" s="123"/>
    </row>
    <row r="128" spans="1:15" ht="15" customHeight="1" thickBot="1">
      <c r="A128" s="19" t="s">
        <v>0</v>
      </c>
      <c r="B128" s="32" t="s">
        <v>22</v>
      </c>
      <c r="C128" s="33" t="s">
        <v>23</v>
      </c>
      <c r="D128" s="32" t="s">
        <v>14</v>
      </c>
      <c r="E128" s="34" t="s">
        <v>15</v>
      </c>
      <c r="F128" s="35" t="s">
        <v>20</v>
      </c>
      <c r="G128" s="85" t="s">
        <v>19</v>
      </c>
      <c r="H128" s="28" t="s">
        <v>26</v>
      </c>
      <c r="I128" s="30" t="s">
        <v>25</v>
      </c>
      <c r="J128" s="87" t="s">
        <v>24</v>
      </c>
      <c r="K128" s="88" t="s">
        <v>48</v>
      </c>
      <c r="L128" s="87" t="s">
        <v>14</v>
      </c>
      <c r="M128" s="89" t="s">
        <v>15</v>
      </c>
      <c r="N128" s="90" t="s">
        <v>21</v>
      </c>
      <c r="O128" s="91" t="s">
        <v>19</v>
      </c>
    </row>
    <row r="129" spans="1:15" ht="15" customHeight="1">
      <c r="A129" s="31" t="str">
        <f aca="true" t="shared" si="29" ref="A129:B135">A115</f>
        <v>Metano</v>
      </c>
      <c r="B129" s="44">
        <f>B115</f>
        <v>0.04</v>
      </c>
      <c r="C129" s="32">
        <f>((1+$L$12*(1-SQRT($B125/$C$12)))^2)</f>
        <v>0.7623371020943167</v>
      </c>
      <c r="D129" s="46">
        <f>C129*$M$12*$B124/$B$7/$B$7/$B125/$B125</f>
        <v>0.046440623968563785</v>
      </c>
      <c r="E129" s="47">
        <f>$N$12*$B124/$B$7/$B125</f>
        <v>0.019437282364430913</v>
      </c>
      <c r="F129" s="37">
        <f>SolLiquidaz(B129:B135,D129:D135,E129:E135,$E$12:$K$18)</f>
        <v>0.0680322717171356</v>
      </c>
      <c r="G129" s="37">
        <f>FugacityZ(F129,1,B129:B135,D129:D135,E129:E135,$E$12:$K$18)</f>
        <v>9.534734791625372</v>
      </c>
      <c r="H129" s="20">
        <f aca="true" t="shared" si="30" ref="H129:H135">G115/O115</f>
        <v>9.433279923358533</v>
      </c>
      <c r="I129" s="4">
        <f aca="true" t="shared" si="31" ref="I129:I135">H129*B129</f>
        <v>0.37733119693434136</v>
      </c>
      <c r="J129" s="92">
        <f>I129/I136</f>
        <v>0.37733119693434103</v>
      </c>
      <c r="K129" s="87">
        <f>((1+$L$12*(1-SQRT($B125/$C$12)))^2)</f>
        <v>0.7623371020943167</v>
      </c>
      <c r="L129" s="93">
        <f>K129*$M$12*$B124/$B$7/$B$7/$B125/$B125</f>
        <v>0.046440623968563785</v>
      </c>
      <c r="M129" s="94">
        <f>$N$12*$B124/$B$7/$B125</f>
        <v>0.019437282364430913</v>
      </c>
      <c r="N129" s="95">
        <f>SolVaporz(J129:J135,L129:L135,M129:M135,$E$12:$K$18)</f>
        <v>0.8728585126187758</v>
      </c>
      <c r="O129" s="95">
        <f>FugacityZ(N129,1,J129:J135,L129:L135,M129:M135,$E$12:$K$18)</f>
        <v>1.0107549940844902</v>
      </c>
    </row>
    <row r="130" spans="1:15" ht="15" customHeight="1">
      <c r="A130" s="31" t="str">
        <f t="shared" si="29"/>
        <v>Etano</v>
      </c>
      <c r="B130" s="45">
        <f t="shared" si="29"/>
        <v>0.16</v>
      </c>
      <c r="C130" s="38">
        <f>((1+$L$13*(1-SQRT($B125/$C$13)))^2)</f>
        <v>1.0111414055455135</v>
      </c>
      <c r="D130" s="86">
        <f>C130*$M$13*$B124/$B$7/$B$7/$B125/$B125</f>
        <v>0.14926149976440467</v>
      </c>
      <c r="E130" s="49">
        <f>$N$13*$B124/$B$7/$B125</f>
        <v>0.02939720677332998</v>
      </c>
      <c r="F130" s="37"/>
      <c r="G130" s="37">
        <f>FugacityZ(F129,2,B129:B135,D129:D135,E129:E135,$E$12:$K$18)</f>
        <v>1.8078136951486004</v>
      </c>
      <c r="H130" s="20">
        <f t="shared" si="30"/>
        <v>2.0508314533169925</v>
      </c>
      <c r="I130" s="4">
        <f t="shared" si="31"/>
        <v>0.3281330325307188</v>
      </c>
      <c r="J130" s="96">
        <f>I130/I136</f>
        <v>0.3281330325307185</v>
      </c>
      <c r="K130" s="97">
        <f>((1+$L$13*(1-SQRT($B125/$C$13)))^2)</f>
        <v>1.0111414055455135</v>
      </c>
      <c r="L130" s="98">
        <f>K130*$M$13*$B124/$B$7/$B$7/$B125/$B125</f>
        <v>0.14926149976440467</v>
      </c>
      <c r="M130" s="99">
        <f>$N$13*$B124/$B$7/$B125</f>
        <v>0.02939720677332998</v>
      </c>
      <c r="N130" s="95"/>
      <c r="O130" s="95">
        <f>FugacityZ(N129,2,J129:J135,L129:L135,M129:M135,$E$12:$K$18)</f>
        <v>0.8815028130269568</v>
      </c>
    </row>
    <row r="131" spans="1:15" ht="15" customHeight="1">
      <c r="A131" s="31" t="str">
        <f t="shared" si="29"/>
        <v>Propano</v>
      </c>
      <c r="B131" s="45">
        <f t="shared" si="29"/>
        <v>0.24</v>
      </c>
      <c r="C131" s="38">
        <f>((1+$L$14*(1-SQRT($B125/$C$14)))^2)</f>
        <v>1.1472378704964072</v>
      </c>
      <c r="D131" s="48">
        <f>C131*$M$14*$B124/$B$7/$B$7/$B125/$B125</f>
        <v>0.2849744473258616</v>
      </c>
      <c r="E131" s="49">
        <f>$N$14*$B124/$B$7/$B125</f>
        <v>0.04083905860627225</v>
      </c>
      <c r="F131" s="37"/>
      <c r="G131" s="37">
        <f>FugacityZ(F129,3,B129:B135,D129:D135,E129:E135,$E$12:$K$18)</f>
        <v>0.5381949054252788</v>
      </c>
      <c r="H131" s="20">
        <f t="shared" si="30"/>
        <v>0.6828628175726901</v>
      </c>
      <c r="I131" s="4">
        <f t="shared" si="31"/>
        <v>0.1638870762174456</v>
      </c>
      <c r="J131" s="96">
        <f>I131/I136</f>
        <v>0.16388707621744547</v>
      </c>
      <c r="K131" s="97">
        <f>((1+$L$14*(1-SQRT($B125/$C$14)))^2)</f>
        <v>1.1472378704964072</v>
      </c>
      <c r="L131" s="98">
        <f>K131*$M$14*$B124/$B$7/$B$7/$B125/$B125</f>
        <v>0.2849744473258616</v>
      </c>
      <c r="M131" s="99">
        <f>$N$14*$B124/$B$7/$B125</f>
        <v>0.04083905860627225</v>
      </c>
      <c r="N131" s="95"/>
      <c r="O131" s="95">
        <f>FugacityZ(N129,3,J129:J135,L129:L135,M129:M135,$E$12:$K$18)</f>
        <v>0.788144985347367</v>
      </c>
    </row>
    <row r="132" spans="1:15" ht="15" customHeight="1">
      <c r="A132" s="31" t="str">
        <f t="shared" si="29"/>
        <v>i-Butano</v>
      </c>
      <c r="B132" s="45">
        <f t="shared" si="29"/>
        <v>0.28</v>
      </c>
      <c r="C132" s="38">
        <f>((1+$L$15*(1-SQRT($B125/$C$15)))^2)</f>
        <v>1.2282030306524951</v>
      </c>
      <c r="D132" s="48">
        <f>C132*$M$15*$B124/$B$7/$B$7/$B125/$B125</f>
        <v>0.43267951454500964</v>
      </c>
      <c r="E132" s="49">
        <f>$N$15*$B124/$B$7/$B125</f>
        <v>0.05248224732314457</v>
      </c>
      <c r="F132" s="37"/>
      <c r="G132" s="37">
        <f>FugacityZ(F129,4,B129:B135,D129:D135,E129:E135,$E$12:$K$18)</f>
        <v>0.2167448787635383</v>
      </c>
      <c r="H132" s="20">
        <f t="shared" si="30"/>
        <v>0.3017116707608965</v>
      </c>
      <c r="I132" s="4">
        <f t="shared" si="31"/>
        <v>0.08447926781305103</v>
      </c>
      <c r="J132" s="96">
        <f>I132/I136</f>
        <v>0.08447926781305096</v>
      </c>
      <c r="K132" s="97">
        <f>((1+$L$15*(1-SQRT($B125/$C$15)))^2)</f>
        <v>1.2282030306524951</v>
      </c>
      <c r="L132" s="98">
        <f>K132*$M$15*$B124/$B$7/$B$7/$B125/$B125</f>
        <v>0.43267951454500964</v>
      </c>
      <c r="M132" s="99">
        <f>$N$15*$B124/$B$7/$B125</f>
        <v>0.05248224732314457</v>
      </c>
      <c r="N132" s="95"/>
      <c r="O132" s="95">
        <f>FugacityZ(N129,4,J129:J135,L129:L135,M129:M135,$E$12:$K$18)</f>
        <v>0.7183841386095794</v>
      </c>
    </row>
    <row r="133" spans="1:15" ht="15" customHeight="1">
      <c r="A133" s="31" t="str">
        <f t="shared" si="29"/>
        <v>n-Butano</v>
      </c>
      <c r="B133" s="45">
        <f t="shared" si="29"/>
        <v>0.14</v>
      </c>
      <c r="C133" s="38">
        <f>((1+$L$16*(1-SQRT($B125/$C$16)))^2)</f>
        <v>1.2679685906857454</v>
      </c>
      <c r="D133" s="48">
        <f>C133*$M$16*$B124/$B$7/$B$7/$B125/$B125</f>
        <v>0.46573410780168634</v>
      </c>
      <c r="E133" s="49">
        <f>$N$16*$B124/$B$7/$B125</f>
        <v>0.052534357643859685</v>
      </c>
      <c r="F133" s="37"/>
      <c r="G133" s="37">
        <f>FugacityZ(F129,5,B129:B135,D129:D135,E129:E135,$E$12:$K$18)</f>
        <v>0.1637851802832316</v>
      </c>
      <c r="H133" s="20">
        <f t="shared" si="30"/>
        <v>0.23233215964817477</v>
      </c>
      <c r="I133" s="4">
        <f t="shared" si="31"/>
        <v>0.032526502350744474</v>
      </c>
      <c r="J133" s="96">
        <f>I133/I136</f>
        <v>0.032526502350744446</v>
      </c>
      <c r="K133" s="97">
        <f>((1+$L$16*(1-SQRT($B125/$C$16)))^2)</f>
        <v>1.2679685906857454</v>
      </c>
      <c r="L133" s="98">
        <f>K133*$M$16*$B124/$B$7/$B$7/$B125/$B125</f>
        <v>0.46573410780168634</v>
      </c>
      <c r="M133" s="99">
        <f>$N$16*$B124/$B$7/$B125</f>
        <v>0.052534357643859685</v>
      </c>
      <c r="N133" s="95"/>
      <c r="O133" s="95">
        <f>FugacityZ(N129,5,J129:J135,L129:L135,M129:M135,$E$12:$K$18)</f>
        <v>0.7049612954435658</v>
      </c>
    </row>
    <row r="134" spans="1:15" ht="15" customHeight="1">
      <c r="A134" s="31" t="str">
        <f t="shared" si="29"/>
        <v>i-Pentano</v>
      </c>
      <c r="B134" s="45">
        <f t="shared" si="29"/>
        <v>0.1</v>
      </c>
      <c r="C134" s="38">
        <f>((1+$L$17*(1-SQRT($B125/$C$17)))^2)</f>
        <v>1.345179244574965</v>
      </c>
      <c r="D134" s="48">
        <f>C134*$M$17*$B124/$B$7/$B$7/$B125/$B125</f>
        <v>0.6507211032798885</v>
      </c>
      <c r="E134" s="49">
        <f>$N$17*$B124/$B$7/$B125</f>
        <v>0.06388171034478199</v>
      </c>
      <c r="F134" s="36"/>
      <c r="G134" s="37">
        <f>FugacityZ(F129,6,B129:B135,D129:D135,E129:E135,$E$12:$K$18)</f>
        <v>0.06536864140344921</v>
      </c>
      <c r="H134" s="20">
        <f t="shared" si="30"/>
        <v>0.10198029583710178</v>
      </c>
      <c r="I134" s="4">
        <f t="shared" si="31"/>
        <v>0.010198029583710178</v>
      </c>
      <c r="J134" s="96">
        <f>I134/I136</f>
        <v>0.01019802958371017</v>
      </c>
      <c r="K134" s="97">
        <f>((1+$L$17*(1-SQRT($B125/$C$17)))^2)</f>
        <v>1.345179244574965</v>
      </c>
      <c r="L134" s="98">
        <f>K134*$M$17*$B124/$B$7/$B$7/$B125/$B125</f>
        <v>0.6507211032798885</v>
      </c>
      <c r="M134" s="99">
        <f>$N$17*$B124/$B$7/$B125</f>
        <v>0.06388171034478199</v>
      </c>
      <c r="N134" s="100"/>
      <c r="O134" s="95">
        <f>FugacityZ(N129,6,J129:J135,L129:L135,M129:M135,$E$12:$K$18)</f>
        <v>0.6409928588862989</v>
      </c>
    </row>
    <row r="135" spans="1:15" ht="15" customHeight="1" thickBot="1">
      <c r="A135" s="31" t="str">
        <f t="shared" si="29"/>
        <v>n-Pentano</v>
      </c>
      <c r="B135" s="81">
        <f t="shared" si="29"/>
        <v>0.04</v>
      </c>
      <c r="C135" s="39">
        <f>((1+$L$18*(1-SQRT($B125/$C$18)))^2)</f>
        <v>1.377451145867071</v>
      </c>
      <c r="D135" s="50">
        <f>C135*$M$18*$B124/$B$7/$B$7/$B125/$B125</f>
        <v>0.6956969551544534</v>
      </c>
      <c r="E135" s="51">
        <f>$N$18*$B124/$B$7/$B125</f>
        <v>0.06538057750220717</v>
      </c>
      <c r="F135" s="36"/>
      <c r="G135" s="37">
        <f>FugacityZ(F129,7,B129:B135,D129:D135,E129:E135,$E$12:$K$18)</f>
        <v>0.05449160777254207</v>
      </c>
      <c r="H135" s="20">
        <f t="shared" si="30"/>
        <v>0.08612236424973484</v>
      </c>
      <c r="I135" s="4">
        <f t="shared" si="31"/>
        <v>0.0034448945699893934</v>
      </c>
      <c r="J135" s="101">
        <f>I135/I136</f>
        <v>0.0034448945699893903</v>
      </c>
      <c r="K135" s="102">
        <f>((1+$L$18*(1-SQRT($B125/$C$18)))^2)</f>
        <v>1.377451145867071</v>
      </c>
      <c r="L135" s="103">
        <f>K135*$M$18*$B124/$B$7/$B$7/$B125/$B125</f>
        <v>0.6956969551544534</v>
      </c>
      <c r="M135" s="104">
        <f>$N$18*$B124/$B$7/$B125</f>
        <v>0.06538057750220717</v>
      </c>
      <c r="N135" s="100"/>
      <c r="O135" s="95">
        <f>FugacityZ(N129,7,J129:J135,L129:L135,M129:M135,$E$12:$K$18)</f>
        <v>0.632723082155818</v>
      </c>
    </row>
    <row r="136" spans="1:15" ht="15" customHeight="1" thickBot="1">
      <c r="A136" s="19" t="s">
        <v>4</v>
      </c>
      <c r="B136" s="39">
        <f>SUM(B129:B135)</f>
        <v>1</v>
      </c>
      <c r="C136" s="40"/>
      <c r="D136" s="39">
        <f>amixture(B129:B135,D129:D135,$E$12:$K$18)</f>
        <v>0.35083319981080285</v>
      </c>
      <c r="E136" s="41">
        <f>bmixture(B129:B135,E129:E135)</f>
        <v>0.0463356518990027</v>
      </c>
      <c r="F136" s="42"/>
      <c r="G136" s="42"/>
      <c r="H136" s="28"/>
      <c r="I136" s="30">
        <f>SUM(I129:I135)</f>
        <v>1.0000000000000009</v>
      </c>
      <c r="J136" s="102">
        <f>SUM(J129:J135)</f>
        <v>0.9999999999999999</v>
      </c>
      <c r="K136" s="105"/>
      <c r="L136" s="102">
        <f>amixture(J129:J135,L129:L135,$E$12:$K$18)</f>
        <v>0.14780860480910976</v>
      </c>
      <c r="M136" s="106">
        <f>bmixture(J129:J135,M129:M135)</f>
        <v>0.030692599039456456</v>
      </c>
      <c r="N136" s="107"/>
      <c r="O136" s="107"/>
    </row>
    <row r="138" spans="1:15" ht="15" customHeight="1">
      <c r="A138" s="3" t="s">
        <v>1</v>
      </c>
      <c r="B138" s="43">
        <f>B124</f>
        <v>1624273.4665078016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5" customHeight="1">
      <c r="A139" s="3" t="s">
        <v>2</v>
      </c>
      <c r="B139" s="4">
        <f>B125</f>
        <v>300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5" customHeight="1" thickBot="1">
      <c r="A140" s="3"/>
      <c r="B140" s="3"/>
      <c r="C140" s="3"/>
      <c r="D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5" customHeight="1" thickBot="1">
      <c r="A141" s="3"/>
      <c r="B141" s="118" t="s">
        <v>16</v>
      </c>
      <c r="C141" s="119"/>
      <c r="D141" s="119"/>
      <c r="E141" s="119"/>
      <c r="F141" s="119"/>
      <c r="G141" s="120"/>
      <c r="H141" s="3"/>
      <c r="I141" s="3"/>
      <c r="J141" s="121" t="s">
        <v>17</v>
      </c>
      <c r="K141" s="122"/>
      <c r="L141" s="122"/>
      <c r="M141" s="122"/>
      <c r="N141" s="122"/>
      <c r="O141" s="123"/>
    </row>
    <row r="142" spans="1:15" ht="15" customHeight="1" thickBot="1">
      <c r="A142" s="19" t="s">
        <v>0</v>
      </c>
      <c r="B142" s="32" t="s">
        <v>22</v>
      </c>
      <c r="C142" s="33" t="s">
        <v>23</v>
      </c>
      <c r="D142" s="32" t="s">
        <v>14</v>
      </c>
      <c r="E142" s="34" t="s">
        <v>15</v>
      </c>
      <c r="F142" s="35" t="s">
        <v>20</v>
      </c>
      <c r="G142" s="85" t="s">
        <v>19</v>
      </c>
      <c r="H142" s="28" t="s">
        <v>26</v>
      </c>
      <c r="I142" s="30" t="s">
        <v>25</v>
      </c>
      <c r="J142" s="87" t="s">
        <v>24</v>
      </c>
      <c r="K142" s="88" t="s">
        <v>48</v>
      </c>
      <c r="L142" s="87" t="s">
        <v>14</v>
      </c>
      <c r="M142" s="89" t="s">
        <v>15</v>
      </c>
      <c r="N142" s="90" t="s">
        <v>21</v>
      </c>
      <c r="O142" s="91" t="s">
        <v>19</v>
      </c>
    </row>
    <row r="143" spans="1:15" ht="15" customHeight="1">
      <c r="A143" s="31" t="str">
        <f aca="true" t="shared" si="32" ref="A143:B149">A129</f>
        <v>Metano</v>
      </c>
      <c r="B143" s="44">
        <f t="shared" si="32"/>
        <v>0.04</v>
      </c>
      <c r="C143" s="32">
        <f>((1+$L$12*(1-SQRT($B139/$C$12)))^2)</f>
        <v>0.7623371020943167</v>
      </c>
      <c r="D143" s="46">
        <f>C143*$M$12*$B138/$B$7/$B$7/$B139/$B139</f>
        <v>0.046440623968563785</v>
      </c>
      <c r="E143" s="47">
        <f>$N$12*$B138/$B$7/$B139</f>
        <v>0.019437282364430913</v>
      </c>
      <c r="F143" s="37">
        <f>SolLiquidaz(B143:B149,D143:D149,E143:E149,$E$12:$K$18)</f>
        <v>0.0680322717171356</v>
      </c>
      <c r="G143" s="37">
        <f>FugacityZ(F143,1,B143:B149,D143:D149,E143:E149,$E$12:$K$18)</f>
        <v>9.534734791625372</v>
      </c>
      <c r="H143" s="20">
        <f aca="true" t="shared" si="33" ref="H143:H149">G129/O129</f>
        <v>9.433279921868337</v>
      </c>
      <c r="I143" s="4">
        <f aca="true" t="shared" si="34" ref="I143:I149">H143*B143</f>
        <v>0.3773311968747335</v>
      </c>
      <c r="J143" s="92">
        <f>I143/I150</f>
        <v>0.377331196874733</v>
      </c>
      <c r="K143" s="87">
        <f>((1+$L$12*(1-SQRT($B139/$C$12)))^2)</f>
        <v>0.7623371020943167</v>
      </c>
      <c r="L143" s="93">
        <f>K143*$M$12*$B138/$B$7/$B$7/$B139/$B139</f>
        <v>0.046440623968563785</v>
      </c>
      <c r="M143" s="94">
        <f>$N$12*$B138/$B$7/$B139</f>
        <v>0.019437282364430913</v>
      </c>
      <c r="N143" s="95">
        <f>SolVaporz(J143:J149,L143:L149,M143:M149,$E$12:$K$18)</f>
        <v>0.8728585125976442</v>
      </c>
      <c r="O143" s="95">
        <f>FugacityZ(N143,1,J143:J149,L143:L149,M143:M149,$E$12:$K$18)</f>
        <v>1.0107549940969187</v>
      </c>
    </row>
    <row r="144" spans="1:15" ht="15" customHeight="1">
      <c r="A144" s="31" t="str">
        <f t="shared" si="32"/>
        <v>Etano</v>
      </c>
      <c r="B144" s="45">
        <f t="shared" si="32"/>
        <v>0.16</v>
      </c>
      <c r="C144" s="38">
        <f>((1+$L$13*(1-SQRT($B139/$C$13)))^2)</f>
        <v>1.0111414055455135</v>
      </c>
      <c r="D144" s="86">
        <f>C144*$M$13*$B138/$B$7/$B$7/$B139/$B139</f>
        <v>0.14926149976440467</v>
      </c>
      <c r="E144" s="49">
        <f>$N$13*$B138/$B$7/$B139</f>
        <v>0.02939720677332998</v>
      </c>
      <c r="F144" s="37"/>
      <c r="G144" s="37">
        <f>FugacityZ(F143,2,B143:B149,D143:D149,E143:E149,$E$12:$K$18)</f>
        <v>1.8078136951486004</v>
      </c>
      <c r="H144" s="20">
        <f t="shared" si="33"/>
        <v>2.0508314533232426</v>
      </c>
      <c r="I144" s="4">
        <f t="shared" si="34"/>
        <v>0.3281330325317188</v>
      </c>
      <c r="J144" s="96">
        <f>I144/I150</f>
        <v>0.3281330325317184</v>
      </c>
      <c r="K144" s="97">
        <f>((1+$L$13*(1-SQRT($B139/$C$13)))^2)</f>
        <v>1.0111414055455135</v>
      </c>
      <c r="L144" s="98">
        <f>K144*$M$13*$B138/$B$7/$B$7/$B139/$B139</f>
        <v>0.14926149976440467</v>
      </c>
      <c r="M144" s="99">
        <f>$N$13*$B138/$B$7/$B139</f>
        <v>0.02939720677332998</v>
      </c>
      <c r="N144" s="95"/>
      <c r="O144" s="95">
        <f>FugacityZ(N143,2,J143:J149,L143:L149,M143:M149,$E$12:$K$18)</f>
        <v>0.8815028130267477</v>
      </c>
    </row>
    <row r="145" spans="1:15" ht="15" customHeight="1">
      <c r="A145" s="31" t="str">
        <f t="shared" si="32"/>
        <v>Propano</v>
      </c>
      <c r="B145" s="45">
        <f t="shared" si="32"/>
        <v>0.24</v>
      </c>
      <c r="C145" s="38">
        <f>((1+$L$14*(1-SQRT($B139/$C$14)))^2)</f>
        <v>1.1472378704964072</v>
      </c>
      <c r="D145" s="48">
        <f>C145*$M$14*$B138/$B$7/$B$7/$B139/$B139</f>
        <v>0.2849744473258616</v>
      </c>
      <c r="E145" s="49">
        <f>$N$14*$B138/$B$7/$B139</f>
        <v>0.04083905860627225</v>
      </c>
      <c r="F145" s="37"/>
      <c r="G145" s="37">
        <f>FugacityZ(F143,3,B143:B149,D143:D149,E143:E149,$E$12:$K$18)</f>
        <v>0.5381949054252788</v>
      </c>
      <c r="H145" s="20">
        <f t="shared" si="33"/>
        <v>0.6828628176680903</v>
      </c>
      <c r="I145" s="4">
        <f t="shared" si="34"/>
        <v>0.16388707624034168</v>
      </c>
      <c r="J145" s="96">
        <f>I145/I150</f>
        <v>0.16388707624034146</v>
      </c>
      <c r="K145" s="97">
        <f>((1+$L$14*(1-SQRT($B139/$C$14)))^2)</f>
        <v>1.1472378704964072</v>
      </c>
      <c r="L145" s="98">
        <f>K145*$M$14*$B138/$B$7/$B$7/$B139/$B139</f>
        <v>0.2849744473258616</v>
      </c>
      <c r="M145" s="99">
        <f>$N$14*$B138/$B$7/$B139</f>
        <v>0.04083905860627225</v>
      </c>
      <c r="N145" s="95"/>
      <c r="O145" s="95">
        <f>FugacityZ(N143,3,J143:J149,L143:L149,M143:M149,$E$12:$K$18)</f>
        <v>0.7881449853387963</v>
      </c>
    </row>
    <row r="146" spans="1:15" ht="15" customHeight="1">
      <c r="A146" s="31" t="str">
        <f t="shared" si="32"/>
        <v>i-Butano</v>
      </c>
      <c r="B146" s="45">
        <f t="shared" si="32"/>
        <v>0.28</v>
      </c>
      <c r="C146" s="38">
        <f>((1+$L$15*(1-SQRT($B139/$C$15)))^2)</f>
        <v>1.2282030306524951</v>
      </c>
      <c r="D146" s="48">
        <f>C146*$M$15*$B138/$B$7/$B$7/$B139/$B139</f>
        <v>0.43267951454500964</v>
      </c>
      <c r="E146" s="49">
        <f>$N$15*$B138/$B$7/$B139</f>
        <v>0.05248224732314457</v>
      </c>
      <c r="F146" s="37"/>
      <c r="G146" s="37">
        <f>FugacityZ(F143,4,B143:B149,D143:D149,E143:E149,$E$12:$K$18)</f>
        <v>0.2167448787635383</v>
      </c>
      <c r="H146" s="20">
        <f t="shared" si="33"/>
        <v>0.3017116708381736</v>
      </c>
      <c r="I146" s="4">
        <f t="shared" si="34"/>
        <v>0.0844792678346886</v>
      </c>
      <c r="J146" s="96">
        <f>I146/I150</f>
        <v>0.0844792678346885</v>
      </c>
      <c r="K146" s="97">
        <f>((1+$L$15*(1-SQRT($B139/$C$15)))^2)</f>
        <v>1.2282030306524951</v>
      </c>
      <c r="L146" s="98">
        <f>K146*$M$15*$B138/$B$7/$B$7/$B139/$B139</f>
        <v>0.43267951454500964</v>
      </c>
      <c r="M146" s="99">
        <f>$N$15*$B138/$B$7/$B139</f>
        <v>0.05248224732314457</v>
      </c>
      <c r="N146" s="95"/>
      <c r="O146" s="95">
        <f>FugacityZ(N143,4,J143:J149,L143:L149,M143:M149,$E$12:$K$18)</f>
        <v>0.7183841385952572</v>
      </c>
    </row>
    <row r="147" spans="1:15" ht="15" customHeight="1">
      <c r="A147" s="31" t="str">
        <f t="shared" si="32"/>
        <v>n-Butano</v>
      </c>
      <c r="B147" s="45">
        <f t="shared" si="32"/>
        <v>0.14</v>
      </c>
      <c r="C147" s="38">
        <f>((1+$L$16*(1-SQRT($B139/$C$16)))^2)</f>
        <v>1.2679685906857454</v>
      </c>
      <c r="D147" s="48">
        <f>C147*$M$16*$B138/$B$7/$B$7/$B139/$B139</f>
        <v>0.46573410780168634</v>
      </c>
      <c r="E147" s="49">
        <f>$N$16*$B138/$B$7/$B139</f>
        <v>0.052534357643859685</v>
      </c>
      <c r="F147" s="37"/>
      <c r="G147" s="37">
        <f>FugacityZ(F143,5,B143:B149,D143:D149,E143:E149,$E$12:$K$18)</f>
        <v>0.1637851802832316</v>
      </c>
      <c r="H147" s="20">
        <f t="shared" si="33"/>
        <v>0.2323321597112321</v>
      </c>
      <c r="I147" s="4">
        <f t="shared" si="34"/>
        <v>0.032526502359572496</v>
      </c>
      <c r="J147" s="96">
        <f>I147/I150</f>
        <v>0.032526502359572454</v>
      </c>
      <c r="K147" s="97">
        <f>((1+$L$16*(1-SQRT($B139/$C$16)))^2)</f>
        <v>1.2679685906857454</v>
      </c>
      <c r="L147" s="98">
        <f>K147*$M$16*$B138/$B$7/$B$7/$B139/$B139</f>
        <v>0.46573410780168634</v>
      </c>
      <c r="M147" s="99">
        <f>$N$16*$B138/$B$7/$B139</f>
        <v>0.052534357643859685</v>
      </c>
      <c r="N147" s="95"/>
      <c r="O147" s="95">
        <f>FugacityZ(N143,5,J143:J149,L143:L149,M143:M149,$E$12:$K$18)</f>
        <v>0.7049612954286729</v>
      </c>
    </row>
    <row r="148" spans="1:15" ht="15" customHeight="1">
      <c r="A148" s="31" t="str">
        <f t="shared" si="32"/>
        <v>i-Pentano</v>
      </c>
      <c r="B148" s="45">
        <f t="shared" si="32"/>
        <v>0.1</v>
      </c>
      <c r="C148" s="38">
        <f>((1+$L$17*(1-SQRT($B139/$C$17)))^2)</f>
        <v>1.345179244574965</v>
      </c>
      <c r="D148" s="48">
        <f>C148*$M$17*$B138/$B$7/$B$7/$B139/$B139</f>
        <v>0.6507211032798885</v>
      </c>
      <c r="E148" s="49">
        <f>$N$17*$B138/$B$7/$B139</f>
        <v>0.06388171034478199</v>
      </c>
      <c r="F148" s="36"/>
      <c r="G148" s="37">
        <f>FugacityZ(F143,6,B143:B149,D143:D149,E143:E149,$E$12:$K$18)</f>
        <v>0.06536864140344921</v>
      </c>
      <c r="H148" s="20">
        <f t="shared" si="33"/>
        <v>0.10198029587572127</v>
      </c>
      <c r="I148" s="4">
        <f t="shared" si="34"/>
        <v>0.010198029587572127</v>
      </c>
      <c r="J148" s="96">
        <f>I148/I150</f>
        <v>0.010198029587572113</v>
      </c>
      <c r="K148" s="97">
        <f>((1+$L$17*(1-SQRT($B139/$C$17)))^2)</f>
        <v>1.345179244574965</v>
      </c>
      <c r="L148" s="98">
        <f>K148*$M$17*$B138/$B$7/$B$7/$B139/$B139</f>
        <v>0.6507211032798885</v>
      </c>
      <c r="M148" s="99">
        <f>$N$17*$B138/$B$7/$B139</f>
        <v>0.06388171034478199</v>
      </c>
      <c r="N148" s="100"/>
      <c r="O148" s="95">
        <f>FugacityZ(N143,6,J143:J149,L143:L149,M143:M149,$E$12:$K$18)</f>
        <v>0.6409928588674043</v>
      </c>
    </row>
    <row r="149" spans="1:15" ht="15" customHeight="1" thickBot="1">
      <c r="A149" s="31" t="str">
        <f t="shared" si="32"/>
        <v>n-Pentano</v>
      </c>
      <c r="B149" s="81">
        <f t="shared" si="32"/>
        <v>0.04</v>
      </c>
      <c r="C149" s="39">
        <f>((1+$L$18*(1-SQRT($B139/$C$18)))^2)</f>
        <v>1.377451145867071</v>
      </c>
      <c r="D149" s="50">
        <f>C149*$M$18*$B138/$B$7/$B$7/$B139/$B139</f>
        <v>0.6956969551544534</v>
      </c>
      <c r="E149" s="51">
        <f>$N$18*$B138/$B$7/$B139</f>
        <v>0.06538057750220717</v>
      </c>
      <c r="F149" s="36"/>
      <c r="G149" s="37">
        <f>FugacityZ(F143,7,B143:B149,D143:D149,E143:E149,$E$12:$K$18)</f>
        <v>0.05449160777254207</v>
      </c>
      <c r="H149" s="20">
        <f t="shared" si="33"/>
        <v>0.08612236428435316</v>
      </c>
      <c r="I149" s="4">
        <f t="shared" si="34"/>
        <v>0.0034448945713741264</v>
      </c>
      <c r="J149" s="101">
        <f>I149/I150</f>
        <v>0.0034448945713741216</v>
      </c>
      <c r="K149" s="102">
        <f>((1+$L$18*(1-SQRT($B139/$C$18)))^2)</f>
        <v>1.377451145867071</v>
      </c>
      <c r="L149" s="103">
        <f>K149*$M$18*$B138/$B$7/$B$7/$B139/$B139</f>
        <v>0.6956969551544534</v>
      </c>
      <c r="M149" s="104">
        <f>$N$18*$B138/$B$7/$B139</f>
        <v>0.06538057750220717</v>
      </c>
      <c r="N149" s="100"/>
      <c r="O149" s="95">
        <f>FugacityZ(N143,7,J143:J149,L143:L149,M143:M149,$E$12:$K$18)</f>
        <v>0.632723082136021</v>
      </c>
    </row>
    <row r="150" spans="1:15" ht="15" customHeight="1" thickBot="1">
      <c r="A150" s="19" t="s">
        <v>4</v>
      </c>
      <c r="B150" s="39">
        <f>SUM(B143:B149)</f>
        <v>1</v>
      </c>
      <c r="C150" s="40"/>
      <c r="D150" s="39">
        <f>amixture(B143:B149,D143:D149,$E$12:$K$18)</f>
        <v>0.35083319981080285</v>
      </c>
      <c r="E150" s="41">
        <f>bmixture(B143:B149,E143:E149)</f>
        <v>0.0463356518990027</v>
      </c>
      <c r="F150" s="42"/>
      <c r="G150" s="42"/>
      <c r="H150" s="28"/>
      <c r="I150" s="30">
        <f>SUM(I143:I149)</f>
        <v>1.0000000000000013</v>
      </c>
      <c r="J150" s="102">
        <f>SUM(J143:J149)</f>
        <v>1</v>
      </c>
      <c r="K150" s="105"/>
      <c r="L150" s="102">
        <f>amixture(J143:J149,L143:L149,$E$12:$K$18)</f>
        <v>0.14780860482779523</v>
      </c>
      <c r="M150" s="106">
        <f>bmixture(J143:J149,M143:M149)</f>
        <v>0.030692599041198882</v>
      </c>
      <c r="N150" s="107"/>
      <c r="O150" s="107"/>
    </row>
    <row r="152" spans="1:15" ht="15" customHeight="1">
      <c r="A152" s="3" t="s">
        <v>1</v>
      </c>
      <c r="B152" s="43">
        <f>B138</f>
        <v>1624273.4665078016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5" customHeight="1">
      <c r="A153" s="3" t="s">
        <v>2</v>
      </c>
      <c r="B153" s="4">
        <f>B139</f>
        <v>300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5" customHeight="1" thickBot="1">
      <c r="A154" s="3"/>
      <c r="B154" s="3"/>
      <c r="C154" s="3"/>
      <c r="D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5" customHeight="1" thickBot="1">
      <c r="A155" s="3"/>
      <c r="B155" s="118" t="s">
        <v>16</v>
      </c>
      <c r="C155" s="119"/>
      <c r="D155" s="119"/>
      <c r="E155" s="119"/>
      <c r="F155" s="119"/>
      <c r="G155" s="120"/>
      <c r="H155" s="3"/>
      <c r="I155" s="3"/>
      <c r="J155" s="121" t="s">
        <v>17</v>
      </c>
      <c r="K155" s="122"/>
      <c r="L155" s="122"/>
      <c r="M155" s="122"/>
      <c r="N155" s="122"/>
      <c r="O155" s="123"/>
    </row>
    <row r="156" spans="1:15" ht="15" customHeight="1" thickBot="1">
      <c r="A156" s="19" t="s">
        <v>0</v>
      </c>
      <c r="B156" s="32" t="s">
        <v>22</v>
      </c>
      <c r="C156" s="33" t="s">
        <v>23</v>
      </c>
      <c r="D156" s="32" t="s">
        <v>14</v>
      </c>
      <c r="E156" s="34" t="s">
        <v>15</v>
      </c>
      <c r="F156" s="35" t="s">
        <v>20</v>
      </c>
      <c r="G156" s="85" t="s">
        <v>19</v>
      </c>
      <c r="H156" s="28" t="s">
        <v>26</v>
      </c>
      <c r="I156" s="30" t="s">
        <v>25</v>
      </c>
      <c r="J156" s="87" t="s">
        <v>24</v>
      </c>
      <c r="K156" s="88" t="s">
        <v>48</v>
      </c>
      <c r="L156" s="87" t="s">
        <v>14</v>
      </c>
      <c r="M156" s="89" t="s">
        <v>15</v>
      </c>
      <c r="N156" s="90" t="s">
        <v>21</v>
      </c>
      <c r="O156" s="91" t="s">
        <v>19</v>
      </c>
    </row>
    <row r="157" spans="1:15" ht="15" customHeight="1">
      <c r="A157" s="31" t="str">
        <f aca="true" t="shared" si="35" ref="A157:B163">A143</f>
        <v>Metano</v>
      </c>
      <c r="B157" s="44">
        <f t="shared" si="35"/>
        <v>0.04</v>
      </c>
      <c r="C157" s="32">
        <f>((1+$L$12*(1-SQRT($B153/$C$12)))^2)</f>
        <v>0.7623371020943167</v>
      </c>
      <c r="D157" s="46">
        <f>C157*$M$12*$B152/$B$7/$B$7/$B153/$B153</f>
        <v>0.046440623968563785</v>
      </c>
      <c r="E157" s="47">
        <f>$N$12*$B152/$B$7/$B153</f>
        <v>0.019437282364430913</v>
      </c>
      <c r="F157" s="37">
        <f>SolLiquidaz(B157:B163,D157:D163,E157:E163,$E$12:$K$18)</f>
        <v>0.0680322717171356</v>
      </c>
      <c r="G157" s="37">
        <f>FugacityZ(F157,1,B157:B163,D157:D163,E157:E163,$E$12:$K$18)</f>
        <v>9.534734791625372</v>
      </c>
      <c r="H157" s="20">
        <f aca="true" t="shared" si="36" ref="H157:H163">G143/O143</f>
        <v>9.433279921752343</v>
      </c>
      <c r="I157" s="4">
        <f aca="true" t="shared" si="37" ref="I157:I163">H157*B157</f>
        <v>0.3773311968700937</v>
      </c>
      <c r="J157" s="92">
        <f>I157/I164</f>
        <v>0.3773311968700932</v>
      </c>
      <c r="K157" s="87">
        <f>((1+$L$12*(1-SQRT($B153/$C$12)))^2)</f>
        <v>0.7623371020943167</v>
      </c>
      <c r="L157" s="93">
        <f>K157*$M$12*$B152/$B$7/$B$7/$B153/$B153</f>
        <v>0.046440623968563785</v>
      </c>
      <c r="M157" s="94">
        <f>$N$12*$B152/$B$7/$B153</f>
        <v>0.019437282364430913</v>
      </c>
      <c r="N157" s="95">
        <f>SolVaporz(J157:J163,L157:L163,M157:M163,$E$12:$K$18)</f>
        <v>0.8728585125959996</v>
      </c>
      <c r="O157" s="95">
        <f>FugacityZ(N157,1,J157:J163,L157:L163,M157:M163,$E$12:$K$18)</f>
        <v>1.0107549940978862</v>
      </c>
    </row>
    <row r="158" spans="1:15" ht="15" customHeight="1">
      <c r="A158" s="31" t="str">
        <f t="shared" si="35"/>
        <v>Etano</v>
      </c>
      <c r="B158" s="45">
        <f t="shared" si="35"/>
        <v>0.16</v>
      </c>
      <c r="C158" s="38">
        <f>((1+$L$13*(1-SQRT($B153/$C$13)))^2)</f>
        <v>1.0111414055455135</v>
      </c>
      <c r="D158" s="86">
        <f>C158*$M$13*$B152/$B$7/$B$7/$B153/$B153</f>
        <v>0.14926149976440467</v>
      </c>
      <c r="E158" s="49">
        <f>$N$13*$B152/$B$7/$B153</f>
        <v>0.02939720677332998</v>
      </c>
      <c r="F158" s="37"/>
      <c r="G158" s="37">
        <f>FugacityZ(F157,2,B157:B163,D157:D163,E157:E163,$E$12:$K$18)</f>
        <v>1.8078136951486004</v>
      </c>
      <c r="H158" s="20">
        <f t="shared" si="36"/>
        <v>2.050831453323729</v>
      </c>
      <c r="I158" s="4">
        <f t="shared" si="37"/>
        <v>0.3281330325317966</v>
      </c>
      <c r="J158" s="96">
        <f>I158/I164</f>
        <v>0.32813303253179615</v>
      </c>
      <c r="K158" s="97">
        <f>((1+$L$13*(1-SQRT($B153/$C$13)))^2)</f>
        <v>1.0111414055455135</v>
      </c>
      <c r="L158" s="98">
        <f>K158*$M$13*$B152/$B$7/$B$7/$B153/$B153</f>
        <v>0.14926149976440467</v>
      </c>
      <c r="M158" s="99">
        <f>$N$13*$B152/$B$7/$B153</f>
        <v>0.02939720677332998</v>
      </c>
      <c r="N158" s="95"/>
      <c r="O158" s="95">
        <f>FugacityZ(N157,2,J157:J163,L157:L163,M157:M163,$E$12:$K$18)</f>
        <v>0.8815028130267315</v>
      </c>
    </row>
    <row r="159" spans="1:15" ht="15" customHeight="1">
      <c r="A159" s="31" t="str">
        <f t="shared" si="35"/>
        <v>Propano</v>
      </c>
      <c r="B159" s="45">
        <f t="shared" si="35"/>
        <v>0.24</v>
      </c>
      <c r="C159" s="38">
        <f>((1+$L$14*(1-SQRT($B153/$C$14)))^2)</f>
        <v>1.1472378704964072</v>
      </c>
      <c r="D159" s="48">
        <f>C159*$M$14*$B152/$B$7/$B$7/$B153/$B153</f>
        <v>0.2849744473258616</v>
      </c>
      <c r="E159" s="49">
        <f>$N$14*$B152/$B$7/$B153</f>
        <v>0.04083905860627225</v>
      </c>
      <c r="F159" s="37"/>
      <c r="G159" s="37">
        <f>FugacityZ(F157,3,B157:B163,D157:D163,E157:E163,$E$12:$K$18)</f>
        <v>0.5381949054252788</v>
      </c>
      <c r="H159" s="20">
        <f t="shared" si="36"/>
        <v>0.6828628176755162</v>
      </c>
      <c r="I159" s="4">
        <f t="shared" si="37"/>
        <v>0.16388707624212387</v>
      </c>
      <c r="J159" s="96">
        <f>I159/I164</f>
        <v>0.16388707624212365</v>
      </c>
      <c r="K159" s="97">
        <f>((1+$L$14*(1-SQRT($B153/$C$14)))^2)</f>
        <v>1.1472378704964072</v>
      </c>
      <c r="L159" s="98">
        <f>K159*$M$14*$B152/$B$7/$B$7/$B153/$B153</f>
        <v>0.2849744473258616</v>
      </c>
      <c r="M159" s="99">
        <f>$N$14*$B152/$B$7/$B153</f>
        <v>0.04083905860627225</v>
      </c>
      <c r="N159" s="95"/>
      <c r="O159" s="95">
        <f>FugacityZ(N157,3,J157:J163,L157:L163,M157:M163,$E$12:$K$18)</f>
        <v>0.7881449853381294</v>
      </c>
    </row>
    <row r="160" spans="1:15" ht="15" customHeight="1">
      <c r="A160" s="31" t="str">
        <f t="shared" si="35"/>
        <v>i-Butano</v>
      </c>
      <c r="B160" s="45">
        <f t="shared" si="35"/>
        <v>0.28</v>
      </c>
      <c r="C160" s="38">
        <f>((1+$L$15*(1-SQRT($B153/$C$15)))^2)</f>
        <v>1.2282030306524951</v>
      </c>
      <c r="D160" s="48">
        <f>C160*$M$15*$B152/$B$7/$B$7/$B153/$B153</f>
        <v>0.43267951454500964</v>
      </c>
      <c r="E160" s="49">
        <f>$N$15*$B152/$B$7/$B153</f>
        <v>0.05248224732314457</v>
      </c>
      <c r="F160" s="37"/>
      <c r="G160" s="37">
        <f>FugacityZ(F157,4,B157:B163,D157:D163,E157:E163,$E$12:$K$18)</f>
        <v>0.2167448787635383</v>
      </c>
      <c r="H160" s="20">
        <f t="shared" si="36"/>
        <v>0.3017116708441887</v>
      </c>
      <c r="I160" s="4">
        <f t="shared" si="37"/>
        <v>0.08447926783637284</v>
      </c>
      <c r="J160" s="96">
        <f>I160/I164</f>
        <v>0.08447926783637273</v>
      </c>
      <c r="K160" s="97">
        <f>((1+$L$15*(1-SQRT($B153/$C$15)))^2)</f>
        <v>1.2282030306524951</v>
      </c>
      <c r="L160" s="98">
        <f>K160*$M$15*$B152/$B$7/$B$7/$B153/$B153</f>
        <v>0.43267951454500964</v>
      </c>
      <c r="M160" s="99">
        <f>$N$15*$B152/$B$7/$B153</f>
        <v>0.05248224732314457</v>
      </c>
      <c r="N160" s="95"/>
      <c r="O160" s="95">
        <f>FugacityZ(N157,4,J157:J163,L157:L163,M157:M163,$E$12:$K$18)</f>
        <v>0.7183841385941429</v>
      </c>
    </row>
    <row r="161" spans="1:15" ht="15" customHeight="1">
      <c r="A161" s="31" t="str">
        <f t="shared" si="35"/>
        <v>n-Butano</v>
      </c>
      <c r="B161" s="45">
        <f t="shared" si="35"/>
        <v>0.14</v>
      </c>
      <c r="C161" s="38">
        <f>((1+$L$16*(1-SQRT($B153/$C$16)))^2)</f>
        <v>1.2679685906857454</v>
      </c>
      <c r="D161" s="48">
        <f>C161*$M$16*$B152/$B$7/$B$7/$B153/$B153</f>
        <v>0.46573410780168634</v>
      </c>
      <c r="E161" s="49">
        <f>$N$16*$B152/$B$7/$B153</f>
        <v>0.052534357643859685</v>
      </c>
      <c r="F161" s="37"/>
      <c r="G161" s="37">
        <f>FugacityZ(F157,5,B157:B163,D157:D163,E157:E163,$E$12:$K$18)</f>
        <v>0.1637851802832316</v>
      </c>
      <c r="H161" s="20">
        <f t="shared" si="36"/>
        <v>0.2323321597161403</v>
      </c>
      <c r="I161" s="4">
        <f t="shared" si="37"/>
        <v>0.03252650236025965</v>
      </c>
      <c r="J161" s="96">
        <f>I161/I164</f>
        <v>0.032526502360259606</v>
      </c>
      <c r="K161" s="97">
        <f>((1+$L$16*(1-SQRT($B153/$C$16)))^2)</f>
        <v>1.2679685906857454</v>
      </c>
      <c r="L161" s="98">
        <f>K161*$M$16*$B152/$B$7/$B$7/$B153/$B153</f>
        <v>0.46573410780168634</v>
      </c>
      <c r="M161" s="99">
        <f>$N$16*$B152/$B$7/$B153</f>
        <v>0.052534357643859685</v>
      </c>
      <c r="N161" s="95"/>
      <c r="O161" s="95">
        <f>FugacityZ(N157,5,J157:J163,L157:L163,M157:M163,$E$12:$K$18)</f>
        <v>0.7049612954275138</v>
      </c>
    </row>
    <row r="162" spans="1:15" ht="15" customHeight="1">
      <c r="A162" s="31" t="str">
        <f t="shared" si="35"/>
        <v>i-Pentano</v>
      </c>
      <c r="B162" s="45">
        <f t="shared" si="35"/>
        <v>0.1</v>
      </c>
      <c r="C162" s="38">
        <f>((1+$L$17*(1-SQRT($B153/$C$17)))^2)</f>
        <v>1.345179244574965</v>
      </c>
      <c r="D162" s="48">
        <f>C162*$M$17*$B152/$B$7/$B$7/$B153/$B153</f>
        <v>0.6507211032798885</v>
      </c>
      <c r="E162" s="49">
        <f>$N$17*$B152/$B$7/$B153</f>
        <v>0.06388171034478199</v>
      </c>
      <c r="F162" s="36"/>
      <c r="G162" s="37">
        <f>FugacityZ(F157,6,B157:B163,D157:D163,E157:E163,$E$12:$K$18)</f>
        <v>0.06536864140344921</v>
      </c>
      <c r="H162" s="20">
        <f t="shared" si="36"/>
        <v>0.10198029587872734</v>
      </c>
      <c r="I162" s="4">
        <f t="shared" si="37"/>
        <v>0.010198029587872734</v>
      </c>
      <c r="J162" s="96">
        <f>I162/I164</f>
        <v>0.01019802958787272</v>
      </c>
      <c r="K162" s="97">
        <f>((1+$L$17*(1-SQRT($B153/$C$17)))^2)</f>
        <v>1.345179244574965</v>
      </c>
      <c r="L162" s="98">
        <f>K162*$M$17*$B152/$B$7/$B$7/$B153/$B153</f>
        <v>0.6507211032798885</v>
      </c>
      <c r="M162" s="99">
        <f>$N$17*$B152/$B$7/$B153</f>
        <v>0.06388171034478199</v>
      </c>
      <c r="N162" s="100"/>
      <c r="O162" s="95">
        <f>FugacityZ(N157,6,J157:J163,L157:L163,M157:M163,$E$12:$K$18)</f>
        <v>0.6409928588659338</v>
      </c>
    </row>
    <row r="163" spans="1:15" ht="15" customHeight="1" thickBot="1">
      <c r="A163" s="31" t="str">
        <f t="shared" si="35"/>
        <v>n-Pentano</v>
      </c>
      <c r="B163" s="81">
        <f t="shared" si="35"/>
        <v>0.04</v>
      </c>
      <c r="C163" s="39">
        <f>((1+$L$18*(1-SQRT($B153/$C$18)))^2)</f>
        <v>1.377451145867071</v>
      </c>
      <c r="D163" s="50">
        <f>C163*$M$18*$B152/$B$7/$B$7/$B153/$B153</f>
        <v>0.6956969551544534</v>
      </c>
      <c r="E163" s="51">
        <f>$N$18*$B152/$B$7/$B153</f>
        <v>0.06538057750220717</v>
      </c>
      <c r="F163" s="36"/>
      <c r="G163" s="37">
        <f>FugacityZ(F157,7,B157:B163,D157:D163,E157:E163,$E$12:$K$18)</f>
        <v>0.05449160777254207</v>
      </c>
      <c r="H163" s="20">
        <f t="shared" si="36"/>
        <v>0.0861223642870478</v>
      </c>
      <c r="I163" s="4">
        <f t="shared" si="37"/>
        <v>0.0034448945714819117</v>
      </c>
      <c r="J163" s="101">
        <f>I163/I164</f>
        <v>0.003444894571481907</v>
      </c>
      <c r="K163" s="102">
        <f>((1+$L$18*(1-SQRT($B153/$C$18)))^2)</f>
        <v>1.377451145867071</v>
      </c>
      <c r="L163" s="103">
        <f>K163*$M$18*$B152/$B$7/$B$7/$B153/$B153</f>
        <v>0.6956969551544534</v>
      </c>
      <c r="M163" s="104">
        <f>$N$18*$B152/$B$7/$B153</f>
        <v>0.06538057750220717</v>
      </c>
      <c r="N163" s="100"/>
      <c r="O163" s="95">
        <f>FugacityZ(N157,7,J157:J163,L157:L163,M157:M163,$E$12:$K$18)</f>
        <v>0.6327230821344806</v>
      </c>
    </row>
    <row r="164" spans="1:15" ht="15" customHeight="1" thickBot="1">
      <c r="A164" s="19" t="s">
        <v>4</v>
      </c>
      <c r="B164" s="39">
        <f>SUM(B157:B163)</f>
        <v>1</v>
      </c>
      <c r="C164" s="40"/>
      <c r="D164" s="39">
        <f>amixture(B157:B163,D157:D163,$E$12:$K$18)</f>
        <v>0.35083319981080285</v>
      </c>
      <c r="E164" s="41">
        <f>bmixture(B157:B163,E157:E163)</f>
        <v>0.0463356518990027</v>
      </c>
      <c r="F164" s="42"/>
      <c r="G164" s="42"/>
      <c r="H164" s="28"/>
      <c r="I164" s="30">
        <f>SUM(I157:I163)</f>
        <v>1.0000000000000013</v>
      </c>
      <c r="J164" s="102">
        <f>SUM(J157:J163)</f>
        <v>0.9999999999999999</v>
      </c>
      <c r="K164" s="105"/>
      <c r="L164" s="102">
        <f>amixture(J157:J163,L157:L163,$E$12:$K$18)</f>
        <v>0.14780860482924965</v>
      </c>
      <c r="M164" s="106">
        <f>bmixture(J157:J163,M157:M163)</f>
        <v>0.03069259904133451</v>
      </c>
      <c r="N164" s="107"/>
      <c r="O164" s="107"/>
    </row>
  </sheetData>
  <sheetProtection/>
  <mergeCells count="20">
    <mergeCell ref="B99:G99"/>
    <mergeCell ref="J99:O99"/>
    <mergeCell ref="B113:G113"/>
    <mergeCell ref="J113:O113"/>
    <mergeCell ref="B57:G57"/>
    <mergeCell ref="J57:O57"/>
    <mergeCell ref="B85:G85"/>
    <mergeCell ref="J85:O85"/>
    <mergeCell ref="B71:G71"/>
    <mergeCell ref="J71:O71"/>
    <mergeCell ref="B141:G141"/>
    <mergeCell ref="J141:O141"/>
    <mergeCell ref="B155:G155"/>
    <mergeCell ref="J155:O155"/>
    <mergeCell ref="B29:G29"/>
    <mergeCell ref="J29:O29"/>
    <mergeCell ref="B43:G43"/>
    <mergeCell ref="J43:O43"/>
    <mergeCell ref="B127:G127"/>
    <mergeCell ref="J127:O127"/>
  </mergeCells>
  <printOptions horizontalCentered="1"/>
  <pageMargins left="0.75" right="0.75" top="1" bottom="1" header="0.5" footer="0.5"/>
  <pageSetup fitToHeight="5" fitToWidth="1" horizontalDpi="300" verticalDpi="300" orientation="landscape" scale="56" r:id="rId4"/>
  <headerFooter alignWithMargins="0">
    <oddHeader>&amp;LProcesos de Separación&amp;C
&amp;F&amp;RJean-Marie Ledanois</oddHeader>
    <oddFooter>&amp;LNotas Preliminares&amp;CSeptiembre 2000&amp;RDestilación binaria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3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2.57421875" style="1" customWidth="1"/>
    <col min="2" max="2" width="15.7109375" style="1" bestFit="1" customWidth="1"/>
    <col min="3" max="35" width="14.7109375" style="1" customWidth="1"/>
    <col min="36" max="16384" width="9.140625" style="1" customWidth="1"/>
  </cols>
  <sheetData>
    <row r="1" spans="1:17" ht="15" customHeight="1">
      <c r="A1" s="2" t="s">
        <v>42</v>
      </c>
      <c r="M1"/>
      <c r="N1"/>
      <c r="O1"/>
      <c r="P1"/>
      <c r="Q1"/>
    </row>
    <row r="2" spans="1:17" ht="15" customHeight="1">
      <c r="A2" s="3"/>
      <c r="F2"/>
      <c r="G2"/>
      <c r="H2"/>
      <c r="I2"/>
      <c r="J2"/>
      <c r="K2"/>
      <c r="L2"/>
      <c r="M2"/>
      <c r="N2"/>
      <c r="O2"/>
      <c r="P2"/>
      <c r="Q2"/>
    </row>
    <row r="3" spans="1:17" ht="15" customHeight="1">
      <c r="A3" s="3" t="s">
        <v>43</v>
      </c>
      <c r="F3"/>
      <c r="G3"/>
      <c r="H3"/>
      <c r="I3"/>
      <c r="J3"/>
      <c r="K3"/>
      <c r="L3"/>
      <c r="M3"/>
      <c r="N3"/>
      <c r="O3"/>
      <c r="P3"/>
      <c r="Q3"/>
    </row>
    <row r="4" spans="1:17" ht="15" customHeight="1">
      <c r="A4" s="3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15" customHeight="1">
      <c r="A5" s="3" t="s">
        <v>46</v>
      </c>
      <c r="F5"/>
      <c r="G5"/>
      <c r="H5"/>
      <c r="I5"/>
      <c r="J5"/>
      <c r="K5"/>
      <c r="L5"/>
      <c r="M5"/>
      <c r="N5"/>
      <c r="O5"/>
      <c r="P5"/>
      <c r="Q5"/>
    </row>
    <row r="6" spans="6:17" s="3" customFormat="1" ht="15" customHeight="1">
      <c r="F6"/>
      <c r="G6"/>
      <c r="H6"/>
      <c r="I6"/>
      <c r="J6"/>
      <c r="K6"/>
      <c r="L6"/>
      <c r="M6"/>
      <c r="N6"/>
      <c r="O6"/>
      <c r="P6"/>
      <c r="Q6"/>
    </row>
    <row r="7" spans="1:17" s="3" customFormat="1" ht="15" customHeight="1">
      <c r="A7" s="6" t="s">
        <v>3</v>
      </c>
      <c r="B7" s="4">
        <v>8.31451</v>
      </c>
      <c r="C7" s="4" t="s">
        <v>9</v>
      </c>
      <c r="F7"/>
      <c r="G7"/>
      <c r="H7"/>
      <c r="I7"/>
      <c r="J7"/>
      <c r="K7"/>
      <c r="L7"/>
      <c r="M7"/>
      <c r="N7"/>
      <c r="O7"/>
      <c r="P7"/>
      <c r="Q7"/>
    </row>
    <row r="8" spans="1:17" s="3" customFormat="1" ht="15" customHeight="1">
      <c r="A8" s="9" t="s">
        <v>10</v>
      </c>
      <c r="B8" s="82">
        <v>0.427480233540341</v>
      </c>
      <c r="D8"/>
      <c r="E8" s="63"/>
      <c r="M8"/>
      <c r="N8"/>
      <c r="O8"/>
      <c r="P8"/>
      <c r="Q8"/>
    </row>
    <row r="9" spans="1:17" s="3" customFormat="1" ht="15" customHeight="1" thickBot="1">
      <c r="A9" s="9" t="s">
        <v>11</v>
      </c>
      <c r="B9" s="82">
        <f>(2^(1/3)-1)/3</f>
        <v>0.08664034996495773</v>
      </c>
      <c r="D9" s="64"/>
      <c r="E9" s="63"/>
      <c r="M9"/>
      <c r="N9"/>
      <c r="O9"/>
      <c r="P9"/>
      <c r="Q9"/>
    </row>
    <row r="10" spans="5:17" s="3" customFormat="1" ht="15" customHeight="1" thickBot="1">
      <c r="E10" s="28" t="s">
        <v>13</v>
      </c>
      <c r="F10" s="71"/>
      <c r="G10" s="71"/>
      <c r="H10" s="71"/>
      <c r="I10" s="71"/>
      <c r="J10" s="71"/>
      <c r="K10" s="72"/>
      <c r="O10"/>
      <c r="P10"/>
      <c r="Q10"/>
    </row>
    <row r="11" spans="1:17" s="3" customFormat="1" ht="15" customHeight="1" thickBot="1">
      <c r="A11" s="19" t="s">
        <v>0</v>
      </c>
      <c r="B11" s="11" t="s">
        <v>5</v>
      </c>
      <c r="C11" s="11" t="s">
        <v>6</v>
      </c>
      <c r="D11" s="12" t="s">
        <v>7</v>
      </c>
      <c r="E11" s="52" t="str">
        <f>A12</f>
        <v>Metano</v>
      </c>
      <c r="F11" s="29" t="str">
        <f>A13</f>
        <v>Etano</v>
      </c>
      <c r="G11" s="29" t="str">
        <f>A14</f>
        <v>Propano</v>
      </c>
      <c r="H11" s="29" t="str">
        <f>A15</f>
        <v>i-Butano</v>
      </c>
      <c r="I11" s="29" t="str">
        <f>A16</f>
        <v>n-Butano</v>
      </c>
      <c r="J11" s="29" t="str">
        <f>A17</f>
        <v>i-Pentano</v>
      </c>
      <c r="K11" s="30" t="str">
        <f>A18</f>
        <v>n-Pentano</v>
      </c>
      <c r="L11" s="28" t="s">
        <v>8</v>
      </c>
      <c r="M11" s="29" t="s">
        <v>12</v>
      </c>
      <c r="N11" s="30" t="s">
        <v>49</v>
      </c>
      <c r="O11"/>
      <c r="P11"/>
      <c r="Q11"/>
    </row>
    <row r="12" spans="1:17" s="3" customFormat="1" ht="15" customHeight="1">
      <c r="A12" s="73" t="s">
        <v>34</v>
      </c>
      <c r="B12" s="15">
        <v>4599000</v>
      </c>
      <c r="C12" s="16">
        <v>190.564</v>
      </c>
      <c r="D12" s="16">
        <v>0.01155</v>
      </c>
      <c r="E12" s="54">
        <v>0</v>
      </c>
      <c r="F12" s="4">
        <f>E13</f>
        <v>-0.0078</v>
      </c>
      <c r="G12" s="4">
        <f>E14</f>
        <v>0.009</v>
      </c>
      <c r="H12" s="55">
        <f>E15</f>
        <v>0.0241</v>
      </c>
      <c r="I12" s="55">
        <f>E16</f>
        <v>0.0056</v>
      </c>
      <c r="J12" s="55">
        <f>E17</f>
        <v>-0.0078</v>
      </c>
      <c r="K12" s="56">
        <f>E18</f>
        <v>0.019</v>
      </c>
      <c r="L12" s="20">
        <f aca="true" t="shared" si="0" ref="L12:L18">mSRK(D12)</f>
        <v>0.49815622115999997</v>
      </c>
      <c r="M12" s="23">
        <f aca="true" t="shared" si="1" ref="M12:M18">$B$8*$B$7*$B$7*C12*C12/B12</f>
        <v>0.23334992670137433</v>
      </c>
      <c r="N12" s="24">
        <f aca="true" t="shared" si="2" ref="N12:N18">$B$9*$B$7*C12/B12</f>
        <v>2.9849310831756098E-05</v>
      </c>
      <c r="O12"/>
      <c r="P12"/>
      <c r="Q12"/>
    </row>
    <row r="13" spans="1:17" s="3" customFormat="1" ht="15" customHeight="1">
      <c r="A13" s="74" t="s">
        <v>35</v>
      </c>
      <c r="B13" s="17">
        <v>4872000</v>
      </c>
      <c r="C13" s="13">
        <v>305.32</v>
      </c>
      <c r="D13" s="13">
        <v>0.09949</v>
      </c>
      <c r="E13" s="83">
        <v>-0.0078</v>
      </c>
      <c r="F13" s="57">
        <v>0</v>
      </c>
      <c r="G13" s="4">
        <f>F14</f>
        <v>-0.0022</v>
      </c>
      <c r="H13" s="57">
        <f>F15</f>
        <v>-0.01</v>
      </c>
      <c r="I13" s="57">
        <f>F16</f>
        <v>0.0067</v>
      </c>
      <c r="J13" s="57">
        <f>F17</f>
        <v>0</v>
      </c>
      <c r="K13" s="58">
        <f>F18</f>
        <v>0.0056</v>
      </c>
      <c r="L13" s="20">
        <f t="shared" si="0"/>
        <v>0.6348551662224</v>
      </c>
      <c r="M13" s="23">
        <f t="shared" si="1"/>
        <v>0.5654478872979225</v>
      </c>
      <c r="N13" s="24">
        <f t="shared" si="2"/>
        <v>4.514449839800037E-05</v>
      </c>
      <c r="O13"/>
      <c r="P13"/>
      <c r="Q13"/>
    </row>
    <row r="14" spans="1:17" s="3" customFormat="1" ht="15" customHeight="1">
      <c r="A14" s="74" t="s">
        <v>27</v>
      </c>
      <c r="B14" s="17">
        <v>4248000</v>
      </c>
      <c r="C14" s="13">
        <v>369.83</v>
      </c>
      <c r="D14" s="13">
        <v>0.15229</v>
      </c>
      <c r="E14" s="83">
        <v>0.009</v>
      </c>
      <c r="F14" s="84">
        <v>-0.0022</v>
      </c>
      <c r="G14" s="57">
        <v>0</v>
      </c>
      <c r="H14" s="57">
        <f>G15</f>
        <v>-0.01</v>
      </c>
      <c r="I14" s="57">
        <f>G16</f>
        <v>0</v>
      </c>
      <c r="J14" s="57">
        <f>G17</f>
        <v>0.0078</v>
      </c>
      <c r="K14" s="58">
        <f>G18</f>
        <v>0.0233</v>
      </c>
      <c r="L14" s="20">
        <f t="shared" si="0"/>
        <v>0.7156226250384</v>
      </c>
      <c r="M14" s="23">
        <f t="shared" si="1"/>
        <v>0.9515007279469047</v>
      </c>
      <c r="N14" s="24">
        <f t="shared" si="2"/>
        <v>6.271544198203631E-05</v>
      </c>
      <c r="O14"/>
      <c r="P14"/>
      <c r="Q14"/>
    </row>
    <row r="15" spans="1:17" s="3" customFormat="1" ht="15" customHeight="1">
      <c r="A15" s="74" t="s">
        <v>32</v>
      </c>
      <c r="B15" s="17">
        <v>3648000</v>
      </c>
      <c r="C15" s="13">
        <v>408.14</v>
      </c>
      <c r="D15" s="13">
        <v>0.18077</v>
      </c>
      <c r="E15" s="53">
        <v>0.0241</v>
      </c>
      <c r="F15" s="84">
        <v>-0.01</v>
      </c>
      <c r="G15" s="84">
        <v>-0.01</v>
      </c>
      <c r="H15" s="57">
        <v>0</v>
      </c>
      <c r="I15" s="57">
        <f>H16</f>
        <v>0.0011</v>
      </c>
      <c r="J15" s="57">
        <f>H17</f>
        <v>0</v>
      </c>
      <c r="K15" s="58">
        <f>H18</f>
        <v>0</v>
      </c>
      <c r="L15" s="20">
        <f t="shared" si="0"/>
        <v>0.7587806884496</v>
      </c>
      <c r="M15" s="23">
        <f t="shared" si="1"/>
        <v>1.3494377293925086</v>
      </c>
      <c r="N15" s="24">
        <f t="shared" si="2"/>
        <v>8.059557319413915E-05</v>
      </c>
      <c r="O15"/>
      <c r="P15"/>
      <c r="Q15"/>
    </row>
    <row r="16" spans="1:14" s="3" customFormat="1" ht="15" customHeight="1">
      <c r="A16" s="74" t="s">
        <v>33</v>
      </c>
      <c r="B16" s="17">
        <v>3796000</v>
      </c>
      <c r="C16" s="13">
        <v>425.12</v>
      </c>
      <c r="D16" s="13">
        <v>0.20016</v>
      </c>
      <c r="E16" s="83">
        <v>0.0056</v>
      </c>
      <c r="F16" s="84">
        <v>0.0067</v>
      </c>
      <c r="G16" s="59">
        <v>0</v>
      </c>
      <c r="H16" s="59">
        <v>0.0011</v>
      </c>
      <c r="I16" s="57">
        <v>0</v>
      </c>
      <c r="J16" s="57">
        <f>I17</f>
        <v>0</v>
      </c>
      <c r="K16" s="58">
        <f>I18</f>
        <v>0.0204</v>
      </c>
      <c r="L16" s="20">
        <f t="shared" si="0"/>
        <v>0.7880005714944</v>
      </c>
      <c r="M16" s="23">
        <f t="shared" si="1"/>
        <v>1.4069745063737067</v>
      </c>
      <c r="N16" s="24">
        <f t="shared" si="2"/>
        <v>8.067559760966208E-05</v>
      </c>
    </row>
    <row r="17" spans="1:14" s="3" customFormat="1" ht="15" customHeight="1">
      <c r="A17" s="74" t="s">
        <v>30</v>
      </c>
      <c r="B17" s="17">
        <v>3381000</v>
      </c>
      <c r="C17" s="13">
        <v>460.43</v>
      </c>
      <c r="D17" s="13">
        <v>0.22746</v>
      </c>
      <c r="E17" s="83">
        <v>-0.0078</v>
      </c>
      <c r="F17" s="84">
        <v>0</v>
      </c>
      <c r="G17" s="84">
        <v>0.0078</v>
      </c>
      <c r="H17" s="59">
        <v>0</v>
      </c>
      <c r="I17" s="59">
        <v>0</v>
      </c>
      <c r="J17" s="57">
        <v>0</v>
      </c>
      <c r="K17" s="58">
        <f>J18</f>
        <v>0</v>
      </c>
      <c r="L17" s="20">
        <f t="shared" si="0"/>
        <v>0.8289161429184</v>
      </c>
      <c r="M17" s="23">
        <f t="shared" si="1"/>
        <v>1.852982906961266</v>
      </c>
      <c r="N17" s="25">
        <f t="shared" si="2"/>
        <v>9.810142142272854E-05</v>
      </c>
    </row>
    <row r="18" spans="1:14" s="3" customFormat="1" ht="15" customHeight="1" thickBot="1">
      <c r="A18" s="75" t="s">
        <v>31</v>
      </c>
      <c r="B18" s="18">
        <v>3370000</v>
      </c>
      <c r="C18" s="14">
        <v>469.7</v>
      </c>
      <c r="D18" s="14">
        <v>0.25151</v>
      </c>
      <c r="E18" s="60">
        <v>0.019</v>
      </c>
      <c r="F18" s="61">
        <v>0.0056</v>
      </c>
      <c r="G18" s="61">
        <v>0.0233</v>
      </c>
      <c r="H18" s="61">
        <v>0</v>
      </c>
      <c r="I18" s="61">
        <v>0.0204</v>
      </c>
      <c r="J18" s="61">
        <v>0</v>
      </c>
      <c r="K18" s="62">
        <v>0</v>
      </c>
      <c r="L18" s="21">
        <f t="shared" si="0"/>
        <v>0.8647434587024</v>
      </c>
      <c r="M18" s="26">
        <f t="shared" si="1"/>
        <v>1.9346418467999131</v>
      </c>
      <c r="N18" s="27">
        <f t="shared" si="2"/>
        <v>0.00010040319133267062</v>
      </c>
    </row>
    <row r="19" spans="2:7" s="3" customFormat="1" ht="15" customHeight="1" thickBot="1">
      <c r="B19" s="7"/>
      <c r="C19" s="5"/>
      <c r="D19" s="5"/>
      <c r="E19" s="5"/>
      <c r="F19" s="4"/>
      <c r="G19" s="8"/>
    </row>
    <row r="20" spans="1:12" s="3" customFormat="1" ht="15" customHeight="1" thickBot="1">
      <c r="A20" s="3" t="s">
        <v>18</v>
      </c>
      <c r="G20" s="114" t="s">
        <v>28</v>
      </c>
      <c r="H20" s="115" t="s">
        <v>29</v>
      </c>
      <c r="I20" s="116" t="s">
        <v>26</v>
      </c>
      <c r="L20" s="78">
        <f>SUM(L21:L27)</f>
        <v>500</v>
      </c>
    </row>
    <row r="21" spans="2:13" s="3" customFormat="1" ht="15" customHeight="1">
      <c r="B21" s="4"/>
      <c r="C21" s="4"/>
      <c r="D21" s="111"/>
      <c r="E21" s="3" t="e">
        <f aca="true" t="shared" si="3" ref="E21:E27">KDewPTSRK($B$26,B$27,$J$31:$J$37,J21)</f>
        <v>#VALUE!</v>
      </c>
      <c r="F21" s="3">
        <f>H129</f>
        <v>48.60776345289087</v>
      </c>
      <c r="G21" s="112">
        <f>B26</f>
        <v>331931.8925277364</v>
      </c>
      <c r="H21" s="65" t="e">
        <f>psatgeneralizada(D$25,C12,B12,D12)</f>
        <v>#VALUE!</v>
      </c>
      <c r="I21" s="66" t="e">
        <f>H21/$G$21</f>
        <v>#VALUE!</v>
      </c>
      <c r="J21" s="3">
        <v>1</v>
      </c>
      <c r="K21" s="3">
        <v>5</v>
      </c>
      <c r="L21" s="3">
        <v>20</v>
      </c>
      <c r="M21" s="3">
        <f>L21/$L$20</f>
        <v>0.04</v>
      </c>
    </row>
    <row r="22" spans="2:13" s="3" customFormat="1" ht="15" customHeight="1">
      <c r="B22" s="4"/>
      <c r="C22" s="4"/>
      <c r="D22" s="4"/>
      <c r="E22" s="3" t="e">
        <f t="shared" si="3"/>
        <v>#VALUE!</v>
      </c>
      <c r="F22" s="3">
        <f aca="true" t="shared" si="4" ref="F22:F27">H130</f>
        <v>9.058675766762816</v>
      </c>
      <c r="G22" s="20"/>
      <c r="H22" s="67" t="e">
        <f aca="true" t="shared" si="5" ref="H22:H27">psatgeneralizada(D$25,C13,B13,D13)</f>
        <v>#VALUE!</v>
      </c>
      <c r="I22" s="68" t="e">
        <f aca="true" t="shared" si="6" ref="I22:I27">H22/$G$21</f>
        <v>#VALUE!</v>
      </c>
      <c r="J22" s="77">
        <v>2</v>
      </c>
      <c r="K22" s="3">
        <v>2</v>
      </c>
      <c r="L22" s="3">
        <v>80</v>
      </c>
      <c r="M22" s="3">
        <f aca="true" t="shared" si="7" ref="M22:M27">L22/$L$20</f>
        <v>0.16</v>
      </c>
    </row>
    <row r="23" spans="2:13" s="3" customFormat="1" ht="15" customHeight="1">
      <c r="B23" s="4"/>
      <c r="C23" s="4"/>
      <c r="D23" s="4"/>
      <c r="E23" s="3" t="e">
        <f t="shared" si="3"/>
        <v>#VALUE!</v>
      </c>
      <c r="F23" s="3">
        <f t="shared" si="4"/>
        <v>2.7648185306349298</v>
      </c>
      <c r="G23" s="20"/>
      <c r="H23" s="67" t="e">
        <f t="shared" si="5"/>
        <v>#VALUE!</v>
      </c>
      <c r="I23" s="68" t="e">
        <f t="shared" si="6"/>
        <v>#VALUE!</v>
      </c>
      <c r="J23" s="3">
        <v>3</v>
      </c>
      <c r="K23" s="77">
        <v>1</v>
      </c>
      <c r="L23" s="3">
        <v>120</v>
      </c>
      <c r="M23" s="3">
        <f t="shared" si="7"/>
        <v>0.24</v>
      </c>
    </row>
    <row r="24" spans="1:13" s="3" customFormat="1" ht="15" customHeight="1">
      <c r="A24" s="77" t="s">
        <v>39</v>
      </c>
      <c r="B24" s="76" t="e">
        <f>PRocioNew(B27,J31:J37)</f>
        <v>#VALUE!</v>
      </c>
      <c r="C24" s="4"/>
      <c r="D24" s="43"/>
      <c r="E24" s="3" t="e">
        <f t="shared" si="3"/>
        <v>#VALUE!</v>
      </c>
      <c r="F24" s="3">
        <f t="shared" si="4"/>
        <v>1.1002373085138213</v>
      </c>
      <c r="G24" s="20"/>
      <c r="H24" s="67" t="e">
        <f t="shared" si="5"/>
        <v>#VALUE!</v>
      </c>
      <c r="I24" s="68" t="e">
        <f t="shared" si="6"/>
        <v>#VALUE!</v>
      </c>
      <c r="J24" s="77">
        <v>4</v>
      </c>
      <c r="K24" s="77">
        <v>0.5</v>
      </c>
      <c r="L24" s="3">
        <v>140</v>
      </c>
      <c r="M24" s="3">
        <f t="shared" si="7"/>
        <v>0.28</v>
      </c>
    </row>
    <row r="25" spans="1:13" s="3" customFormat="1" ht="15" customHeight="1">
      <c r="A25" s="77" t="s">
        <v>40</v>
      </c>
      <c r="B25" s="3" t="e">
        <f>TrocioNew(B26,J31:J37)</f>
        <v>#VALUE!</v>
      </c>
      <c r="D25" s="4"/>
      <c r="E25" s="3" t="e">
        <f t="shared" si="3"/>
        <v>#VALUE!</v>
      </c>
      <c r="F25" s="3">
        <f t="shared" si="4"/>
        <v>0.8183453748299373</v>
      </c>
      <c r="G25" s="20"/>
      <c r="H25" s="67" t="e">
        <f t="shared" si="5"/>
        <v>#VALUE!</v>
      </c>
      <c r="I25" s="68" t="e">
        <f t="shared" si="6"/>
        <v>#VALUE!</v>
      </c>
      <c r="J25" s="3">
        <v>5</v>
      </c>
      <c r="K25" s="77">
        <v>0.3</v>
      </c>
      <c r="L25" s="3">
        <v>70</v>
      </c>
      <c r="M25" s="3">
        <f t="shared" si="7"/>
        <v>0.14</v>
      </c>
    </row>
    <row r="26" spans="1:13" s="3" customFormat="1" ht="15" customHeight="1">
      <c r="A26" s="3" t="s">
        <v>1</v>
      </c>
      <c r="B26" s="10">
        <v>331931.8925277364</v>
      </c>
      <c r="D26" s="111" t="s">
        <v>41</v>
      </c>
      <c r="E26" s="3" t="e">
        <f t="shared" si="3"/>
        <v>#VALUE!</v>
      </c>
      <c r="F26" s="3">
        <f t="shared" si="4"/>
        <v>0.3196821135339947</v>
      </c>
      <c r="G26" s="20"/>
      <c r="H26" s="67" t="e">
        <f t="shared" si="5"/>
        <v>#VALUE!</v>
      </c>
      <c r="I26" s="68" t="e">
        <f t="shared" si="6"/>
        <v>#VALUE!</v>
      </c>
      <c r="J26" s="77">
        <v>6</v>
      </c>
      <c r="K26" s="77">
        <v>0.1</v>
      </c>
      <c r="L26" s="3">
        <v>50</v>
      </c>
      <c r="M26" s="3">
        <f t="shared" si="7"/>
        <v>0.1</v>
      </c>
    </row>
    <row r="27" spans="1:13" s="3" customFormat="1" ht="15" customHeight="1" thickBot="1">
      <c r="A27" s="3" t="s">
        <v>2</v>
      </c>
      <c r="B27" s="5">
        <v>300</v>
      </c>
      <c r="D27" s="117">
        <f>I136</f>
        <v>0.9999999999999984</v>
      </c>
      <c r="E27" s="3" t="e">
        <f t="shared" si="3"/>
        <v>#VALUE!</v>
      </c>
      <c r="F27" s="3">
        <f t="shared" si="4"/>
        <v>0.25586690409898727</v>
      </c>
      <c r="G27" s="21"/>
      <c r="H27" s="69" t="e">
        <f t="shared" si="5"/>
        <v>#VALUE!</v>
      </c>
      <c r="I27" s="70" t="e">
        <f t="shared" si="6"/>
        <v>#VALUE!</v>
      </c>
      <c r="J27" s="3">
        <v>7</v>
      </c>
      <c r="K27" s="77">
        <v>0.05</v>
      </c>
      <c r="L27" s="3">
        <v>20</v>
      </c>
      <c r="M27" s="3">
        <f t="shared" si="7"/>
        <v>0.04</v>
      </c>
    </row>
    <row r="28" s="3" customFormat="1" ht="15" customHeight="1" thickBot="1">
      <c r="D28" s="4"/>
    </row>
    <row r="29" spans="2:15" s="3" customFormat="1" ht="15" customHeight="1" thickBot="1">
      <c r="B29" s="118" t="s">
        <v>16</v>
      </c>
      <c r="C29" s="119"/>
      <c r="D29" s="119"/>
      <c r="E29" s="119"/>
      <c r="F29" s="119"/>
      <c r="G29" s="120"/>
      <c r="J29" s="121" t="s">
        <v>17</v>
      </c>
      <c r="K29" s="122"/>
      <c r="L29" s="122"/>
      <c r="M29" s="122"/>
      <c r="N29" s="122"/>
      <c r="O29" s="123"/>
    </row>
    <row r="30" spans="1:16" s="3" customFormat="1" ht="15" customHeight="1" thickBot="1">
      <c r="A30" s="19" t="s">
        <v>0</v>
      </c>
      <c r="B30" s="32" t="s">
        <v>37</v>
      </c>
      <c r="C30" s="33" t="s">
        <v>23</v>
      </c>
      <c r="D30" s="32" t="s">
        <v>14</v>
      </c>
      <c r="E30" s="34" t="s">
        <v>15</v>
      </c>
      <c r="F30" s="35" t="s">
        <v>20</v>
      </c>
      <c r="G30" s="85" t="s">
        <v>19</v>
      </c>
      <c r="H30" s="28" t="s">
        <v>26</v>
      </c>
      <c r="I30" s="30" t="s">
        <v>38</v>
      </c>
      <c r="J30" s="87" t="s">
        <v>36</v>
      </c>
      <c r="K30" s="88" t="s">
        <v>48</v>
      </c>
      <c r="L30" s="87" t="s">
        <v>14</v>
      </c>
      <c r="M30" s="89" t="s">
        <v>15</v>
      </c>
      <c r="N30" s="90" t="s">
        <v>21</v>
      </c>
      <c r="O30" s="91" t="s">
        <v>19</v>
      </c>
      <c r="P30"/>
    </row>
    <row r="31" spans="1:16" s="3" customFormat="1" ht="15" customHeight="1">
      <c r="A31" s="31" t="str">
        <f aca="true" t="shared" si="8" ref="A31:A37">A12</f>
        <v>Metano</v>
      </c>
      <c r="B31" s="44">
        <f>I31/$I38</f>
        <v>0.0005785984645371346</v>
      </c>
      <c r="C31" s="32">
        <f>((1+$L$12*(1-SQRT($B27/$C$12)))^2)</f>
        <v>0.7623371020943167</v>
      </c>
      <c r="D31" s="46">
        <f>C31*$M$12*$B26/$B$7/$B$7/$B27/$B27</f>
        <v>0.009490473446689338</v>
      </c>
      <c r="E31" s="47">
        <f>$N$12*$B26/$B$7/$B27</f>
        <v>0.003972147580969278</v>
      </c>
      <c r="F31" s="37">
        <f>SolLiquidaz(B31:B37,D31:D37,E31:E37,$E$12:$K$18)</f>
        <v>0.015542261948887859</v>
      </c>
      <c r="G31" s="37">
        <f>FugacityZ(F31,1,B31:B37,D31:D37,E31:E37,$E$12:$K$18)</f>
        <v>50.01902142627385</v>
      </c>
      <c r="H31" s="22">
        <v>35.00359389093975</v>
      </c>
      <c r="I31" s="4">
        <f>J31/H31</f>
        <v>0.001142739803364977</v>
      </c>
      <c r="J31" s="108">
        <v>0.04</v>
      </c>
      <c r="K31" s="87">
        <f>((1+$L$12*(1-SQRT($B27/$C$12)))^2)</f>
        <v>0.7623371020943167</v>
      </c>
      <c r="L31" s="93">
        <f>K31*$M$12*$B26/$B$7/$B$7/$B27/$B27</f>
        <v>0.009490473446689338</v>
      </c>
      <c r="M31" s="94">
        <f>$N$12*$B26/$B$7/$B27</f>
        <v>0.003972147580969278</v>
      </c>
      <c r="N31" s="95">
        <f>SolVaporz(J31:J37,L31:L37,M31:M37,$E$12:$K$18)</f>
        <v>0.9342695694230936</v>
      </c>
      <c r="O31" s="95">
        <f>FugacityZ(N31,1,J31:J37,L31:L37,M31:M37,$E$12:$K$18)</f>
        <v>1.027989055131691</v>
      </c>
      <c r="P31"/>
    </row>
    <row r="32" spans="1:16" s="3" customFormat="1" ht="15" customHeight="1">
      <c r="A32" s="31" t="str">
        <f t="shared" si="8"/>
        <v>Etano</v>
      </c>
      <c r="B32" s="45">
        <f>I32/$I38</f>
        <v>0.014771283810451596</v>
      </c>
      <c r="C32" s="38">
        <f>((1+$L$13*(1-SQRT($B27/$C$13)))^2)</f>
        <v>1.0111414055455135</v>
      </c>
      <c r="D32" s="86">
        <f>C32*$M$13*$B26/$B$7/$B$7/$B27/$B27</f>
        <v>0.03050265433741797</v>
      </c>
      <c r="E32" s="49">
        <f>$N$13*$B26/$B$7/$B27</f>
        <v>0.006007529323421193</v>
      </c>
      <c r="F32" s="37"/>
      <c r="G32" s="37">
        <f>FugacityZ(F31,2,B31:B37,D31:D37,E31:E37,$E$12:$K$18)</f>
        <v>8.927800109513926</v>
      </c>
      <c r="H32" s="22">
        <v>5.484432074685045</v>
      </c>
      <c r="I32" s="4">
        <f aca="true" t="shared" si="9" ref="I32:I37">J32/H32</f>
        <v>0.02917348557173777</v>
      </c>
      <c r="J32" s="109">
        <v>0.16</v>
      </c>
      <c r="K32" s="97">
        <f>((1+$L$13*(1-SQRT($B27/$C$13)))^2)</f>
        <v>1.0111414055455135</v>
      </c>
      <c r="L32" s="98">
        <f>K32*$M$13*$B26/$B$7/$B$7/$B27/$B27</f>
        <v>0.03050265433741797</v>
      </c>
      <c r="M32" s="99">
        <f>$N$13*$B26/$B$7/$B27</f>
        <v>0.006007529323421193</v>
      </c>
      <c r="N32" s="95"/>
      <c r="O32" s="95">
        <f>FugacityZ(N31,2,J31:J37,L31:L37,M31:M37,$E$12:$K$18)</f>
        <v>0.9851939890233411</v>
      </c>
      <c r="P32"/>
    </row>
    <row r="33" spans="1:16" s="3" customFormat="1" ht="15" customHeight="1">
      <c r="A33" s="31" t="str">
        <f t="shared" si="8"/>
        <v>Propano</v>
      </c>
      <c r="B33" s="45">
        <f>I33/$I38</f>
        <v>0.08649237699461033</v>
      </c>
      <c r="C33" s="38">
        <f>((1+$L$14*(1-SQRT($B27/$C$14)))^2)</f>
        <v>1.1472378704964072</v>
      </c>
      <c r="D33" s="48">
        <f>C33*$M$14*$B26/$B$7/$B$7/$B27/$B27</f>
        <v>0.05823656519261661</v>
      </c>
      <c r="E33" s="49">
        <f>$N$14*$B26/$B$7/$B27</f>
        <v>0.008345753527191524</v>
      </c>
      <c r="F33" s="37"/>
      <c r="G33" s="37">
        <f>FugacityZ(F31,3,B31:B37,D31:D37,E31:E37,$E$12:$K$18)</f>
        <v>2.628997009529601</v>
      </c>
      <c r="H33" s="22">
        <v>1.404957966169056</v>
      </c>
      <c r="I33" s="4">
        <f t="shared" si="9"/>
        <v>0.17082361592241488</v>
      </c>
      <c r="J33" s="109">
        <v>0.24</v>
      </c>
      <c r="K33" s="97">
        <f>((1+$L$14*(1-SQRT($B27/$C$14)))^2)</f>
        <v>1.1472378704964072</v>
      </c>
      <c r="L33" s="98">
        <f>K33*$M$14*$B26/$B$7/$B$7/$B27/$B27</f>
        <v>0.05823656519261661</v>
      </c>
      <c r="M33" s="99">
        <f>$N$14*$B26/$B$7/$B27</f>
        <v>0.008345753527191524</v>
      </c>
      <c r="N33" s="95"/>
      <c r="O33" s="95">
        <f>FugacityZ(N31,3,J31:J37,L31:L37,M31:M37,$E$12:$K$18)</f>
        <v>0.9510366801910681</v>
      </c>
      <c r="P33"/>
    </row>
    <row r="34" spans="1:16" s="3" customFormat="1" ht="15" customHeight="1">
      <c r="A34" s="31" t="str">
        <f t="shared" si="8"/>
        <v>i-Butano</v>
      </c>
      <c r="B34" s="45">
        <f>I34/$I38</f>
        <v>0.25557367482860316</v>
      </c>
      <c r="C34" s="38">
        <f>((1+$L$15*(1-SQRT($B27/$C$15)))^2)</f>
        <v>1.2282030306524951</v>
      </c>
      <c r="D34" s="48">
        <f>C34*$M$15*$B26/$B$7/$B$7/$B27/$B27</f>
        <v>0.08842115141466385</v>
      </c>
      <c r="E34" s="49">
        <f>$N$15*$B26/$B$7/$B27</f>
        <v>0.010725122362267211</v>
      </c>
      <c r="F34" s="37"/>
      <c r="G34" s="37">
        <f>FugacityZ(F31,4,B31:B37,D31:D37,E31:E37,$E$12:$K$18)</f>
        <v>1.015870639341348</v>
      </c>
      <c r="H34" s="22">
        <v>0.5547174600245155</v>
      </c>
      <c r="I34" s="4">
        <f t="shared" si="9"/>
        <v>0.5047614689965331</v>
      </c>
      <c r="J34" s="109">
        <v>0.28</v>
      </c>
      <c r="K34" s="97">
        <f>((1+$L$15*(1-SQRT($B27/$C$15)))^2)</f>
        <v>1.2282030306524951</v>
      </c>
      <c r="L34" s="98">
        <f>K34*$M$15*$B26/$B$7/$B$7/$B27/$B27</f>
        <v>0.08842115141466385</v>
      </c>
      <c r="M34" s="99">
        <f>$N$15*$B26/$B$7/$B27</f>
        <v>0.010725122362267211</v>
      </c>
      <c r="N34" s="95"/>
      <c r="O34" s="95">
        <f>FugacityZ(N31,4,J31:J37,L31:L37,M31:M37,$E$12:$K$18)</f>
        <v>0.923273582582732</v>
      </c>
      <c r="P34"/>
    </row>
    <row r="35" spans="1:16" s="3" customFormat="1" ht="15" customHeight="1">
      <c r="A35" s="31" t="str">
        <f t="shared" si="8"/>
        <v>n-Butano</v>
      </c>
      <c r="B35" s="45">
        <f>I35/$I38</f>
        <v>0.17737312854404405</v>
      </c>
      <c r="C35" s="38">
        <f>((1+$L$16*(1-SQRT($B27/$C$16)))^2)</f>
        <v>1.2679685906857454</v>
      </c>
      <c r="D35" s="48">
        <f>C35*$M$16*$B26/$B$7/$B$7/$B27/$B27</f>
        <v>0.0951760938074697</v>
      </c>
      <c r="E35" s="49">
        <f>$N$16*$B26/$B$7/$B27</f>
        <v>0.010735771478768747</v>
      </c>
      <c r="F35" s="37"/>
      <c r="G35" s="37">
        <f>FugacityZ(F31,5,B31:B37,D31:D37,E31:E37,$E$12:$K$18)</f>
        <v>0.7514164169496872</v>
      </c>
      <c r="H35" s="22">
        <v>0.39964108688213884</v>
      </c>
      <c r="I35" s="4">
        <f t="shared" si="9"/>
        <v>0.35031433102194637</v>
      </c>
      <c r="J35" s="109">
        <v>0.14</v>
      </c>
      <c r="K35" s="97">
        <f>((1+$L$16*(1-SQRT($B27/$C$16)))^2)</f>
        <v>1.2679685906857454</v>
      </c>
      <c r="L35" s="98">
        <f>K35*$M$16*$B26/$B$7/$B$7/$B27/$B27</f>
        <v>0.0951760938074697</v>
      </c>
      <c r="M35" s="99">
        <f>$N$16*$B26/$B$7/$B27</f>
        <v>0.010735771478768747</v>
      </c>
      <c r="N35" s="95"/>
      <c r="O35" s="95">
        <f>FugacityZ(N31,5,J31:J37,L31:L37,M31:M37,$E$12:$K$18)</f>
        <v>0.9182163066082452</v>
      </c>
      <c r="P35"/>
    </row>
    <row r="36" spans="1:16" s="3" customFormat="1" ht="15" customHeight="1">
      <c r="A36" s="31" t="str">
        <f t="shared" si="8"/>
        <v>i-Pentano</v>
      </c>
      <c r="B36" s="45">
        <f>I36/$I38</f>
        <v>0.30712280214943716</v>
      </c>
      <c r="C36" s="38">
        <f>((1+$L$17*(1-SQRT($B27/$C$17)))^2)</f>
        <v>1.345179244574965</v>
      </c>
      <c r="D36" s="48">
        <f>C36*$M$17*$B26/$B$7/$B$7/$B27/$B27</f>
        <v>0.13297950854533186</v>
      </c>
      <c r="E36" s="49">
        <f>$N$17*$B26/$B$7/$B27</f>
        <v>0.013054684109469392</v>
      </c>
      <c r="F36" s="36"/>
      <c r="G36" s="37">
        <f>FugacityZ(F31,6,B31:B37,D31:D37,E31:E37,$E$12:$K$18)</f>
        <v>0.284889707645215</v>
      </c>
      <c r="H36" s="22">
        <v>0.164860973662944</v>
      </c>
      <c r="I36" s="4">
        <f t="shared" si="9"/>
        <v>0.6065716935801231</v>
      </c>
      <c r="J36" s="109">
        <v>0.1</v>
      </c>
      <c r="K36" s="97">
        <f>((1+$L$17*(1-SQRT($B27/$C$17)))^2)</f>
        <v>1.345179244574965</v>
      </c>
      <c r="L36" s="98">
        <f>K36*$M$17*$B26/$B$7/$B$7/$B27/$B27</f>
        <v>0.13297950854533186</v>
      </c>
      <c r="M36" s="99">
        <f>$N$17*$B26/$B$7/$B27</f>
        <v>0.013054684109469392</v>
      </c>
      <c r="N36" s="100"/>
      <c r="O36" s="95">
        <f>FugacityZ(N31,6,J31:J37,L31:L37,M31:M37,$E$12:$K$18)</f>
        <v>0.8915264655121089</v>
      </c>
      <c r="P36"/>
    </row>
    <row r="37" spans="1:16" s="3" customFormat="1" ht="15" customHeight="1" thickBot="1">
      <c r="A37" s="31" t="str">
        <f t="shared" si="8"/>
        <v>n-Pentano</v>
      </c>
      <c r="B37" s="81">
        <f>I37/$I38</f>
        <v>0.1580881352083166</v>
      </c>
      <c r="C37" s="39">
        <f>((1+$L$18*(1-SQRT($B27/$C$18)))^2)</f>
        <v>1.377451145867071</v>
      </c>
      <c r="D37" s="50">
        <f>C37*$M$18*$B26/$B$7/$B$7/$B27/$B27</f>
        <v>0.14217064534501664</v>
      </c>
      <c r="E37" s="51">
        <f>$N$18*$B26/$B$7/$B27</f>
        <v>0.013360988326382743</v>
      </c>
      <c r="F37" s="36"/>
      <c r="G37" s="37">
        <f>FugacityZ(F31,7,B31:B37,D31:D37,E31:E37,$E$12:$K$18)</f>
        <v>0.22713272043582786</v>
      </c>
      <c r="H37" s="22">
        <v>0.12811224353991688</v>
      </c>
      <c r="I37" s="4">
        <f t="shared" si="9"/>
        <v>0.31222620800904877</v>
      </c>
      <c r="J37" s="101">
        <v>0.04</v>
      </c>
      <c r="K37" s="102">
        <f>((1+$L$18*(1-SQRT($B27/$C$18)))^2)</f>
        <v>1.377451145867071</v>
      </c>
      <c r="L37" s="103">
        <f>K37*$M$18*$B26/$B$7/$B$7/$B27/$B27</f>
        <v>0.14217064534501664</v>
      </c>
      <c r="M37" s="104">
        <f>$N$18*$B26/$B$7/$B27</f>
        <v>0.013360988326382743</v>
      </c>
      <c r="N37" s="100"/>
      <c r="O37" s="95">
        <f>FugacityZ(N31,7,J31:J37,L31:L37,M31:M37,$E$12:$K$18)</f>
        <v>0.8870141520619058</v>
      </c>
      <c r="P37"/>
    </row>
    <row r="38" spans="1:16" s="3" customFormat="1" ht="15" customHeight="1" thickBot="1">
      <c r="A38" s="19" t="s">
        <v>4</v>
      </c>
      <c r="B38" s="39">
        <f>SUM(B31:B37)</f>
        <v>1</v>
      </c>
      <c r="C38" s="40"/>
      <c r="D38" s="39">
        <f>amixture(B31:B37,D31:D37,$E$12:$K$18)</f>
        <v>0.10596082200229501</v>
      </c>
      <c r="E38" s="41">
        <f>bmixture(B31:B37,E31:E37)</f>
        <v>0.01157978246307317</v>
      </c>
      <c r="F38" s="42"/>
      <c r="G38" s="42"/>
      <c r="H38" s="28"/>
      <c r="I38" s="30">
        <f>SUM(I31:I37)</f>
        <v>1.975013542905169</v>
      </c>
      <c r="J38" s="102">
        <f>SUM(J31:J37)</f>
        <v>1</v>
      </c>
      <c r="K38" s="105"/>
      <c r="L38" s="102">
        <f>amixture(J31:J37,L31:L37,$E$12:$K$18)</f>
        <v>0.07169527199452158</v>
      </c>
      <c r="M38" s="106">
        <f>bmixture(J31:J37,M31:M37)</f>
        <v>0.009469021653976822</v>
      </c>
      <c r="N38" s="107"/>
      <c r="O38" s="107"/>
      <c r="P38"/>
    </row>
    <row r="39" s="3" customFormat="1" ht="15" customHeight="1">
      <c r="P39"/>
    </row>
    <row r="40" spans="1:16" s="3" customFormat="1" ht="15" customHeight="1">
      <c r="A40" s="3" t="s">
        <v>1</v>
      </c>
      <c r="B40" s="43">
        <f>B26</f>
        <v>331931.8925277364</v>
      </c>
      <c r="P40"/>
    </row>
    <row r="41" spans="1:15" ht="15" customHeight="1">
      <c r="A41" s="3" t="s">
        <v>2</v>
      </c>
      <c r="B41" s="4">
        <f>B27</f>
        <v>300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" customHeight="1" thickBot="1">
      <c r="A42" s="3"/>
      <c r="B42" s="3"/>
      <c r="C42" s="3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5" customHeight="1" thickBot="1">
      <c r="A43" s="3"/>
      <c r="B43" s="118" t="s">
        <v>16</v>
      </c>
      <c r="C43" s="119"/>
      <c r="D43" s="119"/>
      <c r="E43" s="119"/>
      <c r="F43" s="119"/>
      <c r="G43" s="120"/>
      <c r="H43" s="3"/>
      <c r="I43" s="3"/>
      <c r="J43" s="121" t="s">
        <v>17</v>
      </c>
      <c r="K43" s="122"/>
      <c r="L43" s="122"/>
      <c r="M43" s="122"/>
      <c r="N43" s="122"/>
      <c r="O43" s="123"/>
    </row>
    <row r="44" spans="1:15" ht="15" customHeight="1" thickBot="1">
      <c r="A44" s="19" t="s">
        <v>0</v>
      </c>
      <c r="B44" s="32" t="s">
        <v>37</v>
      </c>
      <c r="C44" s="33" t="s">
        <v>23</v>
      </c>
      <c r="D44" s="32" t="s">
        <v>14</v>
      </c>
      <c r="E44" s="34" t="s">
        <v>15</v>
      </c>
      <c r="F44" s="35" t="s">
        <v>20</v>
      </c>
      <c r="G44" s="85" t="s">
        <v>19</v>
      </c>
      <c r="H44" s="28" t="s">
        <v>26</v>
      </c>
      <c r="I44" s="30" t="s">
        <v>38</v>
      </c>
      <c r="J44" s="87" t="s">
        <v>36</v>
      </c>
      <c r="K44" s="88" t="s">
        <v>48</v>
      </c>
      <c r="L44" s="87" t="s">
        <v>14</v>
      </c>
      <c r="M44" s="89" t="s">
        <v>15</v>
      </c>
      <c r="N44" s="90" t="s">
        <v>21</v>
      </c>
      <c r="O44" s="91" t="s">
        <v>19</v>
      </c>
    </row>
    <row r="45" spans="1:15" ht="15" customHeight="1">
      <c r="A45" s="31" t="str">
        <f>A31</f>
        <v>Metano</v>
      </c>
      <c r="B45" s="44">
        <f>I45/$I52</f>
        <v>0.0008220774325950654</v>
      </c>
      <c r="C45" s="32">
        <f>((1+$L$12*(1-SQRT($B41/$C$12)))^2)</f>
        <v>0.7623371020943167</v>
      </c>
      <c r="D45" s="46">
        <f>C45*$M$12*$B40/$B$7/$B$7/$B41/$B41</f>
        <v>0.009490473446689338</v>
      </c>
      <c r="E45" s="47">
        <f>$N$12*$B40/$B$7/$B41</f>
        <v>0.003972147580969278</v>
      </c>
      <c r="F45" s="37">
        <f>SolLiquidaz(B45:B51,D45:D51,E45:E51,$E$12:$K$18)</f>
        <v>0.015537645346252182</v>
      </c>
      <c r="G45" s="37">
        <f>FugacityZ(F45,1,B45:B51,D45:D51,E45:E51,$E$12:$K$18)</f>
        <v>49.96760558330036</v>
      </c>
      <c r="H45" s="20">
        <f>G31/O31</f>
        <v>48.657153669662506</v>
      </c>
      <c r="I45" s="4">
        <f>J45/H45</f>
        <v>0.0008220785019930133</v>
      </c>
      <c r="J45" s="92">
        <f>J31</f>
        <v>0.04</v>
      </c>
      <c r="K45" s="87">
        <f>((1+$L$12*(1-SQRT($B41/$C$12)))^2)</f>
        <v>0.7623371020943167</v>
      </c>
      <c r="L45" s="93">
        <f>K45*$M$12*$B40/$B$7/$B$7/$B41/$B41</f>
        <v>0.009490473446689338</v>
      </c>
      <c r="M45" s="94">
        <f>$N$12*$B40/$B$7/$B41</f>
        <v>0.003972147580969278</v>
      </c>
      <c r="N45" s="95">
        <f>SolVaporz(J45:J51,L45:L51,M45:M51,$E$12:$K$18)</f>
        <v>0.9342695694230936</v>
      </c>
      <c r="O45" s="95">
        <f>FugacityZ(N45,1,J45:J51,L45:L51,M45:M51,$E$12:$K$18)</f>
        <v>1.027989055131691</v>
      </c>
    </row>
    <row r="46" spans="1:15" ht="15" customHeight="1">
      <c r="A46" s="31" t="str">
        <f aca="true" t="shared" si="10" ref="A46:A51">A32</f>
        <v>Etano</v>
      </c>
      <c r="B46" s="45">
        <f>I46/$I52</f>
        <v>0.017656178594541945</v>
      </c>
      <c r="C46" s="38">
        <f>((1+$L$13*(1-SQRT($B41/$C$13)))^2)</f>
        <v>1.0111414055455135</v>
      </c>
      <c r="D46" s="86">
        <f>C46*$M$13*$B40/$B$7/$B$7/$B41/$B41</f>
        <v>0.03050265433741797</v>
      </c>
      <c r="E46" s="49">
        <f>$N$13*$B40/$B$7/$B41</f>
        <v>0.006007529323421193</v>
      </c>
      <c r="F46" s="37"/>
      <c r="G46" s="37">
        <f>FugacityZ(F45,2,B45:B51,D45:D51,E45:E51,$E$12:$K$18)</f>
        <v>8.924535874164286</v>
      </c>
      <c r="H46" s="20">
        <f aca="true" t="shared" si="11" ref="H46:H51">G32/O32</f>
        <v>9.061971762905682</v>
      </c>
      <c r="I46" s="4">
        <f aca="true" t="shared" si="12" ref="I46:I51">J46/H46</f>
        <v>0.01765620156255008</v>
      </c>
      <c r="J46" s="96">
        <f aca="true" t="shared" si="13" ref="J46:J51">J32</f>
        <v>0.16</v>
      </c>
      <c r="K46" s="97">
        <f>((1+$L$13*(1-SQRT($B41/$C$13)))^2)</f>
        <v>1.0111414055455135</v>
      </c>
      <c r="L46" s="98">
        <f>K46*$M$13*$B40/$B$7/$B$7/$B41/$B41</f>
        <v>0.03050265433741797</v>
      </c>
      <c r="M46" s="99">
        <f>$N$13*$B40/$B$7/$B41</f>
        <v>0.006007529323421193</v>
      </c>
      <c r="N46" s="95"/>
      <c r="O46" s="95">
        <f>FugacityZ(N45,2,J45:J51,L45:L51,M45:M51,$E$12:$K$18)</f>
        <v>0.9851939890233411</v>
      </c>
    </row>
    <row r="47" spans="1:15" ht="15" customHeight="1">
      <c r="A47" s="31" t="str">
        <f t="shared" si="10"/>
        <v>Propano</v>
      </c>
      <c r="B47" s="45">
        <f>I47/$I52</f>
        <v>0.0868196142870614</v>
      </c>
      <c r="C47" s="38">
        <f>((1+$L$14*(1-SQRT($B41/$C$14)))^2)</f>
        <v>1.1472378704964072</v>
      </c>
      <c r="D47" s="48">
        <f>C47*$M$14*$B40/$B$7/$B$7/$B41/$B41</f>
        <v>0.05823656519261661</v>
      </c>
      <c r="E47" s="49">
        <f>$N$14*$B40/$B$7/$B41</f>
        <v>0.008345753527191524</v>
      </c>
      <c r="F47" s="37"/>
      <c r="G47" s="37">
        <f>FugacityZ(F45,3,B45:B51,D45:D51,E45:E51,$E$12:$K$18)</f>
        <v>2.6294131143964505</v>
      </c>
      <c r="H47" s="20">
        <f t="shared" si="11"/>
        <v>2.7643486989391644</v>
      </c>
      <c r="I47" s="4">
        <f t="shared" si="12"/>
        <v>0.08681972722620032</v>
      </c>
      <c r="J47" s="96">
        <f t="shared" si="13"/>
        <v>0.24</v>
      </c>
      <c r="K47" s="97">
        <f>((1+$L$14*(1-SQRT($B41/$C$14)))^2)</f>
        <v>1.1472378704964072</v>
      </c>
      <c r="L47" s="98">
        <f>K47*$M$14*$B40/$B$7/$B$7/$B41/$B41</f>
        <v>0.05823656519261661</v>
      </c>
      <c r="M47" s="99">
        <f>$N$14*$B40/$B$7/$B41</f>
        <v>0.008345753527191524</v>
      </c>
      <c r="N47" s="95"/>
      <c r="O47" s="95">
        <f>FugacityZ(N45,3,J45:J51,L45:L51,M45:M51,$E$12:$K$18)</f>
        <v>0.9510366801910681</v>
      </c>
    </row>
    <row r="48" spans="1:15" ht="15" customHeight="1">
      <c r="A48" s="31" t="str">
        <f t="shared" si="10"/>
        <v>i-Butano</v>
      </c>
      <c r="B48" s="45">
        <f>I48/$I52</f>
        <v>0.25447754548783585</v>
      </c>
      <c r="C48" s="38">
        <f>((1+$L$15*(1-SQRT($B41/$C$15)))^2)</f>
        <v>1.2282030306524951</v>
      </c>
      <c r="D48" s="48">
        <f>C48*$M$15*$B40/$B$7/$B$7/$B41/$B41</f>
        <v>0.08842115141466385</v>
      </c>
      <c r="E48" s="49">
        <f>$N$15*$B40/$B$7/$B41</f>
        <v>0.010725122362267211</v>
      </c>
      <c r="F48" s="37"/>
      <c r="G48" s="37">
        <f>FugacityZ(F45,4,B45:B51,D45:D51,E45:E51,$E$12:$K$18)</f>
        <v>1.0158240690384275</v>
      </c>
      <c r="H48" s="20">
        <f t="shared" si="11"/>
        <v>1.1002921111417359</v>
      </c>
      <c r="I48" s="4">
        <f t="shared" si="12"/>
        <v>0.25447787652449266</v>
      </c>
      <c r="J48" s="96">
        <f t="shared" si="13"/>
        <v>0.28</v>
      </c>
      <c r="K48" s="97">
        <f>((1+$L$15*(1-SQRT($B41/$C$15)))^2)</f>
        <v>1.2282030306524951</v>
      </c>
      <c r="L48" s="98">
        <f>K48*$M$15*$B40/$B$7/$B$7/$B41/$B41</f>
        <v>0.08842115141466385</v>
      </c>
      <c r="M48" s="99">
        <f>$N$15*$B40/$B$7/$B41</f>
        <v>0.010725122362267211</v>
      </c>
      <c r="N48" s="95"/>
      <c r="O48" s="95">
        <f>FugacityZ(N45,4,J45:J51,L45:L51,M45:M51,$E$12:$K$18)</f>
        <v>0.923273582582732</v>
      </c>
    </row>
    <row r="49" spans="1:15" ht="15" customHeight="1">
      <c r="A49" s="31" t="str">
        <f t="shared" si="10"/>
        <v>n-Butano</v>
      </c>
      <c r="B49" s="45">
        <f>I49/$I52</f>
        <v>0.17107706566061778</v>
      </c>
      <c r="C49" s="38">
        <f>((1+$L$16*(1-SQRT($B41/$C$16)))^2)</f>
        <v>1.2679685906857454</v>
      </c>
      <c r="D49" s="48">
        <f>C49*$M$16*$B40/$B$7/$B$7/$B41/$B41</f>
        <v>0.0951760938074697</v>
      </c>
      <c r="E49" s="49">
        <f>$N$16*$B40/$B$7/$B41</f>
        <v>0.010735771478768747</v>
      </c>
      <c r="F49" s="37"/>
      <c r="G49" s="37">
        <f>FugacityZ(F45,5,B45:B51,D45:D51,E45:E51,$E$12:$K$18)</f>
        <v>0.7514011720559609</v>
      </c>
      <c r="H49" s="20">
        <f t="shared" si="11"/>
        <v>0.8183435771526515</v>
      </c>
      <c r="I49" s="4">
        <f t="shared" si="12"/>
        <v>0.17107728820591062</v>
      </c>
      <c r="J49" s="96">
        <f t="shared" si="13"/>
        <v>0.14</v>
      </c>
      <c r="K49" s="97">
        <f>((1+$L$16*(1-SQRT($B41/$C$16)))^2)</f>
        <v>1.2679685906857454</v>
      </c>
      <c r="L49" s="98">
        <f>K49*$M$16*$B40/$B$7/$B$7/$B41/$B41</f>
        <v>0.0951760938074697</v>
      </c>
      <c r="M49" s="99">
        <f>$N$16*$B40/$B$7/$B41</f>
        <v>0.010735771478768747</v>
      </c>
      <c r="N49" s="95"/>
      <c r="O49" s="95">
        <f>FugacityZ(N45,5,J45:J51,L45:L51,M45:M51,$E$12:$K$18)</f>
        <v>0.9182163066082452</v>
      </c>
    </row>
    <row r="50" spans="1:15" ht="15" customHeight="1">
      <c r="A50" s="31" t="str">
        <f t="shared" si="10"/>
        <v>i-Pentano</v>
      </c>
      <c r="B50" s="45">
        <f>I50/$I52</f>
        <v>0.31293700047713685</v>
      </c>
      <c r="C50" s="38">
        <f>((1+$L$17*(1-SQRT($B41/$C$17)))^2)</f>
        <v>1.345179244574965</v>
      </c>
      <c r="D50" s="48">
        <f>C50*$M$17*$B40/$B$7/$B$7/$B41/$B41</f>
        <v>0.13297950854533186</v>
      </c>
      <c r="E50" s="49">
        <f>$N$17*$B40/$B$7/$B41</f>
        <v>0.013054684109469392</v>
      </c>
      <c r="F50" s="36"/>
      <c r="G50" s="37">
        <f>FugacityZ(F45,6,B45:B51,D45:D51,E45:E51,$E$12:$K$18)</f>
        <v>0.2850072167118217</v>
      </c>
      <c r="H50" s="20">
        <f t="shared" si="11"/>
        <v>0.31955272071656243</v>
      </c>
      <c r="I50" s="4">
        <f t="shared" si="12"/>
        <v>0.31293740756067046</v>
      </c>
      <c r="J50" s="96">
        <f t="shared" si="13"/>
        <v>0.1</v>
      </c>
      <c r="K50" s="97">
        <f>((1+$L$17*(1-SQRT($B41/$C$17)))^2)</f>
        <v>1.345179244574965</v>
      </c>
      <c r="L50" s="98">
        <f>K50*$M$17*$B40/$B$7/$B$7/$B41/$B41</f>
        <v>0.13297950854533186</v>
      </c>
      <c r="M50" s="99">
        <f>$N$17*$B40/$B$7/$B41</f>
        <v>0.013054684109469392</v>
      </c>
      <c r="N50" s="100"/>
      <c r="O50" s="95">
        <f>FugacityZ(N45,6,J45:J51,L45:L51,M45:M51,$E$12:$K$18)</f>
        <v>0.8915264655121089</v>
      </c>
    </row>
    <row r="51" spans="1:15" ht="15" customHeight="1" thickBot="1">
      <c r="A51" s="31" t="str">
        <f t="shared" si="10"/>
        <v>n-Pentano</v>
      </c>
      <c r="B51" s="81">
        <f>I51/$I52</f>
        <v>0.1562105180602111</v>
      </c>
      <c r="C51" s="39">
        <f>((1+$L$18*(1-SQRT($B41/$C$18)))^2)</f>
        <v>1.377451145867071</v>
      </c>
      <c r="D51" s="50">
        <f>C51*$M$18*$B40/$B$7/$B$7/$B41/$B41</f>
        <v>0.14217064534501664</v>
      </c>
      <c r="E51" s="51">
        <f>$N$18*$B40/$B$7/$B41</f>
        <v>0.013360988326382743</v>
      </c>
      <c r="F51" s="36"/>
      <c r="G51" s="37">
        <f>FugacityZ(F45,7,B45:B51,D45:D51,E45:E51,$E$12:$K$18)</f>
        <v>0.22695979283770246</v>
      </c>
      <c r="H51" s="20">
        <f t="shared" si="11"/>
        <v>0.256064370458856</v>
      </c>
      <c r="I51" s="4">
        <f t="shared" si="12"/>
        <v>0.15621072126638225</v>
      </c>
      <c r="J51" s="101">
        <f t="shared" si="13"/>
        <v>0.04</v>
      </c>
      <c r="K51" s="102">
        <f>((1+$L$18*(1-SQRT($B41/$C$18)))^2)</f>
        <v>1.377451145867071</v>
      </c>
      <c r="L51" s="103">
        <f>K51*$M$18*$B40/$B$7/$B$7/$B41/$B41</f>
        <v>0.14217064534501664</v>
      </c>
      <c r="M51" s="104">
        <f>$N$18*$B40/$B$7/$B41</f>
        <v>0.013360988326382743</v>
      </c>
      <c r="N51" s="100"/>
      <c r="O51" s="95">
        <f>FugacityZ(N45,7,J45:J51,L45:L51,M45:M51,$E$12:$K$18)</f>
        <v>0.8870141520619058</v>
      </c>
    </row>
    <row r="52" spans="1:15" ht="15" customHeight="1" thickBot="1">
      <c r="A52" s="19" t="s">
        <v>4</v>
      </c>
      <c r="B52" s="39">
        <f>SUM(B45:B51)</f>
        <v>1</v>
      </c>
      <c r="C52" s="40"/>
      <c r="D52" s="39">
        <f>amixture(B45:B51,D45:D51,$E$12:$K$18)</f>
        <v>0.10580459633508661</v>
      </c>
      <c r="E52" s="41">
        <f>bmixture(B45:B51,E45:E51)</f>
        <v>0.011572278217348918</v>
      </c>
      <c r="F52" s="42"/>
      <c r="G52" s="42"/>
      <c r="H52" s="28"/>
      <c r="I52" s="30">
        <f>SUM(I45:I51)</f>
        <v>1.0000013008481994</v>
      </c>
      <c r="J52" s="102">
        <f>SUM(J45:J51)</f>
        <v>1</v>
      </c>
      <c r="K52" s="105"/>
      <c r="L52" s="102">
        <f>amixture(J45:J51,L45:L51,$E$12:$K$18)</f>
        <v>0.07169527199452158</v>
      </c>
      <c r="M52" s="106">
        <f>bmixture(J45:J51,M45:M51)</f>
        <v>0.009469021653976822</v>
      </c>
      <c r="N52" s="107"/>
      <c r="O52" s="107"/>
    </row>
    <row r="53" ht="15" customHeight="1"/>
    <row r="54" spans="1:15" ht="15" customHeight="1">
      <c r="A54" s="3" t="s">
        <v>1</v>
      </c>
      <c r="B54" s="43">
        <f>B40</f>
        <v>331931.8925277364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customHeight="1">
      <c r="A55" s="3" t="s">
        <v>2</v>
      </c>
      <c r="B55" s="4">
        <f>B41</f>
        <v>300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5" customHeight="1" thickBot="1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5" customHeight="1" thickBot="1">
      <c r="A57" s="3"/>
      <c r="B57" s="118" t="s">
        <v>16</v>
      </c>
      <c r="C57" s="119"/>
      <c r="D57" s="119"/>
      <c r="E57" s="119"/>
      <c r="F57" s="119"/>
      <c r="G57" s="120"/>
      <c r="H57" s="3"/>
      <c r="I57" s="3"/>
      <c r="J57" s="121" t="s">
        <v>17</v>
      </c>
      <c r="K57" s="122"/>
      <c r="L57" s="122"/>
      <c r="M57" s="122"/>
      <c r="N57" s="122"/>
      <c r="O57" s="123"/>
    </row>
    <row r="58" spans="1:15" ht="15" customHeight="1" thickBot="1">
      <c r="A58" s="19" t="s">
        <v>0</v>
      </c>
      <c r="B58" s="32" t="s">
        <v>37</v>
      </c>
      <c r="C58" s="33" t="s">
        <v>23</v>
      </c>
      <c r="D58" s="32" t="s">
        <v>14</v>
      </c>
      <c r="E58" s="34" t="s">
        <v>15</v>
      </c>
      <c r="F58" s="35" t="s">
        <v>20</v>
      </c>
      <c r="G58" s="85" t="s">
        <v>19</v>
      </c>
      <c r="H58" s="28" t="s">
        <v>26</v>
      </c>
      <c r="I58" s="30" t="s">
        <v>38</v>
      </c>
      <c r="J58" s="87" t="s">
        <v>36</v>
      </c>
      <c r="K58" s="88" t="s">
        <v>48</v>
      </c>
      <c r="L58" s="87" t="s">
        <v>14</v>
      </c>
      <c r="M58" s="89" t="s">
        <v>15</v>
      </c>
      <c r="N58" s="90" t="s">
        <v>21</v>
      </c>
      <c r="O58" s="91" t="s">
        <v>19</v>
      </c>
    </row>
    <row r="59" spans="1:15" ht="15" customHeight="1">
      <c r="A59" s="31" t="str">
        <f aca="true" t="shared" si="14" ref="A59:A65">A45</f>
        <v>Metano</v>
      </c>
      <c r="B59" s="44">
        <f>I59/$I66</f>
        <v>0.0008229244073518497</v>
      </c>
      <c r="C59" s="32">
        <f>((1+$L$12*(1-SQRT($B55/$C$12)))^2)</f>
        <v>0.7623371020943167</v>
      </c>
      <c r="D59" s="46">
        <f>C59*$M$12*$B54/$B$7/$B$7/$B55/$B55</f>
        <v>0.009490473446689338</v>
      </c>
      <c r="E59" s="47">
        <f>$N$12*$B54/$B$7/$B55</f>
        <v>0.003972147580969278</v>
      </c>
      <c r="F59" s="37">
        <f>SolLiquidaz(B59:B65,D59:D65,E59:E65,$E$12:$K$18)</f>
        <v>0.015537645623500851</v>
      </c>
      <c r="G59" s="37">
        <f>FugacityZ(F59,1,B59:B65,D59:D65,E59:E65,$E$12:$K$18)</f>
        <v>49.96823287426523</v>
      </c>
      <c r="H59" s="20">
        <f>G45/O45</f>
        <v>48.60713772570199</v>
      </c>
      <c r="I59" s="4">
        <f>J59/H59</f>
        <v>0.0008229244072285541</v>
      </c>
      <c r="J59" s="92">
        <f>J45</f>
        <v>0.04</v>
      </c>
      <c r="K59" s="87">
        <f>((1+$L$12*(1-SQRT($B55/$C$12)))^2)</f>
        <v>0.7623371020943167</v>
      </c>
      <c r="L59" s="93">
        <f>K59*$M$12*$B54/$B$7/$B$7/$B55/$B55</f>
        <v>0.009490473446689338</v>
      </c>
      <c r="M59" s="94">
        <f>$N$12*$B54/$B$7/$B55</f>
        <v>0.003972147580969278</v>
      </c>
      <c r="N59" s="95">
        <f>SolVaporz(J59:J65,L59:L65,M59:M65,$E$12:$K$18)</f>
        <v>0.9342695694230936</v>
      </c>
      <c r="O59" s="95">
        <f>FugacityZ(N59,1,J59:J65,L59:L65,M59:M65,$E$12:$K$18)</f>
        <v>1.027989055131691</v>
      </c>
    </row>
    <row r="60" spans="1:15" ht="15" customHeight="1">
      <c r="A60" s="31" t="str">
        <f t="shared" si="14"/>
        <v>Etano</v>
      </c>
      <c r="B60" s="45">
        <f>I60/$I66</f>
        <v>0.01766265949175903</v>
      </c>
      <c r="C60" s="38">
        <f>((1+$L$13*(1-SQRT($B55/$C$13)))^2)</f>
        <v>1.0111414055455135</v>
      </c>
      <c r="D60" s="86">
        <f>C60*$M$13*$B54/$B$7/$B$7/$B55/$B55</f>
        <v>0.03050265433741797</v>
      </c>
      <c r="E60" s="49">
        <f>$N$13*$B54/$B$7/$B55</f>
        <v>0.006007529323421193</v>
      </c>
      <c r="F60" s="37"/>
      <c r="G60" s="37">
        <f>FugacityZ(F59,2,B59:B65,D59:D65,E59:E65,$E$12:$K$18)</f>
        <v>8.92455233914389</v>
      </c>
      <c r="H60" s="20">
        <f aca="true" t="shared" si="15" ref="H60:H65">G46/O46</f>
        <v>9.05865847091851</v>
      </c>
      <c r="I60" s="4">
        <f aca="true" t="shared" si="16" ref="I60:I65">J60/H60</f>
        <v>0.017662659489112702</v>
      </c>
      <c r="J60" s="96">
        <f aca="true" t="shared" si="17" ref="J60:J65">J46</f>
        <v>0.16</v>
      </c>
      <c r="K60" s="97">
        <f>((1+$L$13*(1-SQRT($B55/$C$13)))^2)</f>
        <v>1.0111414055455135</v>
      </c>
      <c r="L60" s="98">
        <f>K60*$M$13*$B54/$B$7/$B$7/$B55/$B55</f>
        <v>0.03050265433741797</v>
      </c>
      <c r="M60" s="99">
        <f>$N$13*$B54/$B$7/$B55</f>
        <v>0.006007529323421193</v>
      </c>
      <c r="N60" s="95"/>
      <c r="O60" s="95">
        <f>FugacityZ(N59,2,J59:J65,L59:L65,M59:M65,$E$12:$K$18)</f>
        <v>0.9851939890233411</v>
      </c>
    </row>
    <row r="61" spans="1:15" ht="15" customHeight="1">
      <c r="A61" s="31" t="str">
        <f t="shared" si="14"/>
        <v>Propano</v>
      </c>
      <c r="B61" s="45">
        <f>I61/$I66</f>
        <v>0.0868059880093987</v>
      </c>
      <c r="C61" s="38">
        <f>((1+$L$14*(1-SQRT($B55/$C$14)))^2)</f>
        <v>1.1472378704964072</v>
      </c>
      <c r="D61" s="48">
        <f>C61*$M$14*$B54/$B$7/$B$7/$B55/$B55</f>
        <v>0.05823656519261661</v>
      </c>
      <c r="E61" s="49">
        <f>$N$14*$B54/$B$7/$B55</f>
        <v>0.008345753527191524</v>
      </c>
      <c r="F61" s="37"/>
      <c r="G61" s="37">
        <f>FugacityZ(F59,3,B59:B65,D59:D65,E59:E65,$E$12:$K$18)</f>
        <v>2.6294425035542197</v>
      </c>
      <c r="H61" s="20">
        <f t="shared" si="15"/>
        <v>2.764786226613455</v>
      </c>
      <c r="I61" s="4">
        <f t="shared" si="16"/>
        <v>0.0868059879963929</v>
      </c>
      <c r="J61" s="96">
        <f t="shared" si="17"/>
        <v>0.24</v>
      </c>
      <c r="K61" s="97">
        <f>((1+$L$14*(1-SQRT($B55/$C$14)))^2)</f>
        <v>1.1472378704964072</v>
      </c>
      <c r="L61" s="98">
        <f>K61*$M$14*$B54/$B$7/$B$7/$B55/$B55</f>
        <v>0.05823656519261661</v>
      </c>
      <c r="M61" s="99">
        <f>$N$14*$B54/$B$7/$B55</f>
        <v>0.008345753527191524</v>
      </c>
      <c r="N61" s="95"/>
      <c r="O61" s="95">
        <f>FugacityZ(N59,3,J59:J65,L59:L65,M59:M65,$E$12:$K$18)</f>
        <v>0.9510366801910681</v>
      </c>
    </row>
    <row r="62" spans="1:15" ht="15" customHeight="1">
      <c r="A62" s="31" t="str">
        <f t="shared" si="14"/>
        <v>i-Butano</v>
      </c>
      <c r="B62" s="45">
        <f>I62/$I66</f>
        <v>0.2544895430629121</v>
      </c>
      <c r="C62" s="38">
        <f>((1+$L$15*(1-SQRT($B55/$C$15)))^2)</f>
        <v>1.2282030306524951</v>
      </c>
      <c r="D62" s="48">
        <f>C62*$M$15*$B54/$B$7/$B$7/$B55/$B55</f>
        <v>0.08842115141466385</v>
      </c>
      <c r="E62" s="49">
        <f>$N$15*$B54/$B$7/$B55</f>
        <v>0.010725122362267211</v>
      </c>
      <c r="F62" s="37"/>
      <c r="G62" s="37">
        <f>FugacityZ(F59,4,B59:B65,D59:D65,E59:E65,$E$12:$K$18)</f>
        <v>1.0158198618939118</v>
      </c>
      <c r="H62" s="20">
        <f t="shared" si="15"/>
        <v>1.1002416707264582</v>
      </c>
      <c r="I62" s="4">
        <f t="shared" si="16"/>
        <v>0.25448954302478294</v>
      </c>
      <c r="J62" s="96">
        <f t="shared" si="17"/>
        <v>0.28</v>
      </c>
      <c r="K62" s="97">
        <f>((1+$L$15*(1-SQRT($B55/$C$15)))^2)</f>
        <v>1.2282030306524951</v>
      </c>
      <c r="L62" s="98">
        <f>K62*$M$15*$B54/$B$7/$B$7/$B55/$B55</f>
        <v>0.08842115141466385</v>
      </c>
      <c r="M62" s="99">
        <f>$N$15*$B54/$B$7/$B55</f>
        <v>0.010725122362267211</v>
      </c>
      <c r="N62" s="95"/>
      <c r="O62" s="95">
        <f>FugacityZ(N59,4,J59:J65,L59:L65,M59:M65,$E$12:$K$18)</f>
        <v>0.923273582582732</v>
      </c>
    </row>
    <row r="63" spans="1:15" ht="15" customHeight="1">
      <c r="A63" s="31" t="str">
        <f t="shared" si="14"/>
        <v>n-Butano</v>
      </c>
      <c r="B63" s="45">
        <f>I63/$I66</f>
        <v>0.17108075915383414</v>
      </c>
      <c r="C63" s="38">
        <f>((1+$L$16*(1-SQRT($B55/$C$16)))^2)</f>
        <v>1.2679685906857454</v>
      </c>
      <c r="D63" s="48">
        <f>C63*$M$16*$B54/$B$7/$B$7/$B55/$B55</f>
        <v>0.0951760938074697</v>
      </c>
      <c r="E63" s="49">
        <f>$N$16*$B54/$B$7/$B55</f>
        <v>0.010735771478768747</v>
      </c>
      <c r="F63" s="37"/>
      <c r="G63" s="37">
        <f>FugacityZ(F59,5,B59:B65,D59:D65,E59:E65,$E$12:$K$18)</f>
        <v>0.7514177533212831</v>
      </c>
      <c r="H63" s="20">
        <f t="shared" si="15"/>
        <v>0.8183269744266745</v>
      </c>
      <c r="I63" s="4">
        <f t="shared" si="16"/>
        <v>0.17108075912820175</v>
      </c>
      <c r="J63" s="96">
        <f t="shared" si="17"/>
        <v>0.14</v>
      </c>
      <c r="K63" s="97">
        <f>((1+$L$16*(1-SQRT($B55/$C$16)))^2)</f>
        <v>1.2679685906857454</v>
      </c>
      <c r="L63" s="98">
        <f>K63*$M$16*$B54/$B$7/$B$7/$B55/$B55</f>
        <v>0.0951760938074697</v>
      </c>
      <c r="M63" s="99">
        <f>$N$16*$B54/$B$7/$B55</f>
        <v>0.010735771478768747</v>
      </c>
      <c r="N63" s="95"/>
      <c r="O63" s="95">
        <f>FugacityZ(N59,5,J59:J65,L59:L65,M59:M65,$E$12:$K$18)</f>
        <v>0.9182163066082452</v>
      </c>
    </row>
    <row r="64" spans="1:15" ht="15" customHeight="1">
      <c r="A64" s="31" t="str">
        <f t="shared" si="14"/>
        <v>i-Pentano</v>
      </c>
      <c r="B64" s="45">
        <f>I64/$I66</f>
        <v>0.3128083828653114</v>
      </c>
      <c r="C64" s="38">
        <f>((1+$L$17*(1-SQRT($B55/$C$17)))^2)</f>
        <v>1.345179244574965</v>
      </c>
      <c r="D64" s="48">
        <f>C64*$M$17*$B54/$B$7/$B$7/$B55/$B55</f>
        <v>0.13297950854533186</v>
      </c>
      <c r="E64" s="49">
        <f>$N$17*$B54/$B$7/$B55</f>
        <v>0.013054684109469392</v>
      </c>
      <c r="F64" s="36"/>
      <c r="G64" s="37">
        <f>FugacityZ(F59,6,B59:B65,D59:D65,E59:E65,$E$12:$K$18)</f>
        <v>0.28500506025528005</v>
      </c>
      <c r="H64" s="20">
        <f t="shared" si="15"/>
        <v>0.31968452731025593</v>
      </c>
      <c r="I64" s="4">
        <f t="shared" si="16"/>
        <v>0.3128083828184445</v>
      </c>
      <c r="J64" s="96">
        <f t="shared" si="17"/>
        <v>0.1</v>
      </c>
      <c r="K64" s="97">
        <f>((1+$L$17*(1-SQRT($B55/$C$17)))^2)</f>
        <v>1.345179244574965</v>
      </c>
      <c r="L64" s="98">
        <f>K64*$M$17*$B54/$B$7/$B$7/$B55/$B55</f>
        <v>0.13297950854533186</v>
      </c>
      <c r="M64" s="99">
        <f>$N$17*$B54/$B$7/$B55</f>
        <v>0.013054684109469392</v>
      </c>
      <c r="N64" s="100"/>
      <c r="O64" s="95">
        <f>FugacityZ(N59,6,J59:J65,L59:L65,M59:M65,$E$12:$K$18)</f>
        <v>0.8915264655121089</v>
      </c>
    </row>
    <row r="65" spans="1:15" ht="15" customHeight="1" thickBot="1">
      <c r="A65" s="31" t="str">
        <f t="shared" si="14"/>
        <v>n-Pentano</v>
      </c>
      <c r="B65" s="81">
        <f>I65/$I66</f>
        <v>0.1563297430094329</v>
      </c>
      <c r="C65" s="39">
        <f>((1+$L$18*(1-SQRT($B55/$C$18)))^2)</f>
        <v>1.377451145867071</v>
      </c>
      <c r="D65" s="50">
        <f>C65*$M$18*$B54/$B$7/$B$7/$B55/$B55</f>
        <v>0.14217064534501664</v>
      </c>
      <c r="E65" s="51">
        <f>$N$18*$B54/$B$7/$B55</f>
        <v>0.013360988326382743</v>
      </c>
      <c r="F65" s="36"/>
      <c r="G65" s="37">
        <f>FugacityZ(F59,7,B59:B65,D59:D65,E59:E65,$E$12:$K$18)</f>
        <v>0.22695780731017945</v>
      </c>
      <c r="H65" s="20">
        <f t="shared" si="15"/>
        <v>0.2558694157360667</v>
      </c>
      <c r="I65" s="4">
        <f t="shared" si="16"/>
        <v>0.1563297429860106</v>
      </c>
      <c r="J65" s="101">
        <f t="shared" si="17"/>
        <v>0.04</v>
      </c>
      <c r="K65" s="102">
        <f>((1+$L$18*(1-SQRT($B55/$C$18)))^2)</f>
        <v>1.377451145867071</v>
      </c>
      <c r="L65" s="103">
        <f>K65*$M$18*$B54/$B$7/$B$7/$B55/$B55</f>
        <v>0.14217064534501664</v>
      </c>
      <c r="M65" s="104">
        <f>$N$18*$B54/$B$7/$B55</f>
        <v>0.013360988326382743</v>
      </c>
      <c r="N65" s="100"/>
      <c r="O65" s="95">
        <f>FugacityZ(N59,7,J59:J65,L59:L65,M59:M65,$E$12:$K$18)</f>
        <v>0.8870141520619058</v>
      </c>
    </row>
    <row r="66" spans="1:15" ht="15" customHeight="1" thickBot="1">
      <c r="A66" s="19" t="s">
        <v>4</v>
      </c>
      <c r="B66" s="39">
        <f>SUM(B59:B65)</f>
        <v>1</v>
      </c>
      <c r="C66" s="40"/>
      <c r="D66" s="39">
        <f>amixture(B59:B65,D59:D65,$E$12:$K$18)</f>
        <v>0.1058049235204366</v>
      </c>
      <c r="E66" s="41">
        <f>bmixture(B59:B65,E59:E65)</f>
        <v>0.011572289023104199</v>
      </c>
      <c r="F66" s="42"/>
      <c r="G66" s="42"/>
      <c r="H66" s="28"/>
      <c r="I66" s="30">
        <f>SUM(I59:I65)</f>
        <v>0.9999999998501738</v>
      </c>
      <c r="J66" s="102">
        <f>SUM(J59:J65)</f>
        <v>1</v>
      </c>
      <c r="K66" s="105"/>
      <c r="L66" s="102">
        <f>amixture(J59:J65,L59:L65,$E$12:$K$18)</f>
        <v>0.07169527199452158</v>
      </c>
      <c r="M66" s="106">
        <f>bmixture(J59:J65,M59:M65)</f>
        <v>0.009469021653976822</v>
      </c>
      <c r="N66" s="107"/>
      <c r="O66" s="107"/>
    </row>
    <row r="67" ht="15" customHeight="1"/>
    <row r="68" spans="1:15" ht="15" customHeight="1">
      <c r="A68" s="3" t="s">
        <v>1</v>
      </c>
      <c r="B68" s="43">
        <f>B54</f>
        <v>331931.8925277364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5" customHeight="1">
      <c r="A69" s="3" t="s">
        <v>2</v>
      </c>
      <c r="B69" s="4">
        <f>B55</f>
        <v>300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5" customHeight="1" thickBot="1">
      <c r="A70" s="3"/>
      <c r="B70" s="3"/>
      <c r="C70" s="3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5" customHeight="1" thickBot="1">
      <c r="A71" s="3"/>
      <c r="B71" s="118" t="s">
        <v>16</v>
      </c>
      <c r="C71" s="119"/>
      <c r="D71" s="119"/>
      <c r="E71" s="119"/>
      <c r="F71" s="119"/>
      <c r="G71" s="120"/>
      <c r="H71" s="3"/>
      <c r="I71" s="3"/>
      <c r="J71" s="121" t="s">
        <v>17</v>
      </c>
      <c r="K71" s="122"/>
      <c r="L71" s="122"/>
      <c r="M71" s="122"/>
      <c r="N71" s="122"/>
      <c r="O71" s="123"/>
    </row>
    <row r="72" spans="1:15" ht="15" customHeight="1" thickBot="1">
      <c r="A72" s="19" t="s">
        <v>0</v>
      </c>
      <c r="B72" s="32" t="s">
        <v>37</v>
      </c>
      <c r="C72" s="33" t="s">
        <v>23</v>
      </c>
      <c r="D72" s="32" t="s">
        <v>14</v>
      </c>
      <c r="E72" s="34" t="s">
        <v>15</v>
      </c>
      <c r="F72" s="35" t="s">
        <v>20</v>
      </c>
      <c r="G72" s="85" t="s">
        <v>19</v>
      </c>
      <c r="H72" s="28" t="s">
        <v>26</v>
      </c>
      <c r="I72" s="30" t="s">
        <v>38</v>
      </c>
      <c r="J72" s="87" t="s">
        <v>36</v>
      </c>
      <c r="K72" s="88" t="s">
        <v>48</v>
      </c>
      <c r="L72" s="87" t="s">
        <v>14</v>
      </c>
      <c r="M72" s="89" t="s">
        <v>15</v>
      </c>
      <c r="N72" s="90" t="s">
        <v>21</v>
      </c>
      <c r="O72" s="91" t="s">
        <v>19</v>
      </c>
    </row>
    <row r="73" spans="1:15" ht="15" customHeight="1">
      <c r="A73" s="31" t="str">
        <f aca="true" t="shared" si="18" ref="A73:A79">A59</f>
        <v>Metano</v>
      </c>
      <c r="B73" s="44">
        <f>I73/$I80</f>
        <v>0.000822914076405398</v>
      </c>
      <c r="C73" s="32">
        <f>((1+$L$12*(1-SQRT($B69/$C$12)))^2)</f>
        <v>0.7623371020943167</v>
      </c>
      <c r="D73" s="46">
        <f>C73*$M$12*$B68/$B$7/$B$7/$B69/$B69</f>
        <v>0.009490473446689338</v>
      </c>
      <c r="E73" s="47">
        <f>$N$12*$B68/$B$7/$B69</f>
        <v>0.003972147580969278</v>
      </c>
      <c r="F73" s="37">
        <f>SolLiquidaz(B73:B79,D73:D79,E73:E79,$E$12:$K$18)</f>
        <v>0.015537656057490579</v>
      </c>
      <c r="G73" s="37">
        <f>FugacityZ(F73,1,B73:B79,D73:D79,E73:E79,$E$12:$K$18)</f>
        <v>49.96824748388588</v>
      </c>
      <c r="H73" s="20">
        <f>G59/O59</f>
        <v>48.607747937417514</v>
      </c>
      <c r="I73" s="4">
        <f>J73/H73</f>
        <v>0.0008229140764040336</v>
      </c>
      <c r="J73" s="92">
        <f>J59</f>
        <v>0.04</v>
      </c>
      <c r="K73" s="87">
        <f>((1+$L$12*(1-SQRT($B69/$C$12)))^2)</f>
        <v>0.7623371020943167</v>
      </c>
      <c r="L73" s="93">
        <f>K73*$M$12*$B68/$B$7/$B$7/$B69/$B69</f>
        <v>0.009490473446689338</v>
      </c>
      <c r="M73" s="94">
        <f>$N$12*$B68/$B$7/$B69</f>
        <v>0.003972147580969278</v>
      </c>
      <c r="N73" s="95">
        <f>SolVaporz(J73:J79,L73:L79,M73:M79,$E$12:$K$18)</f>
        <v>0.9342695694230936</v>
      </c>
      <c r="O73" s="95">
        <f>FugacityZ(N73,1,J73:J79,L73:L79,M73:M79,$E$12:$K$18)</f>
        <v>1.027989055131691</v>
      </c>
    </row>
    <row r="74" spans="1:15" ht="15" customHeight="1">
      <c r="A74" s="31" t="str">
        <f t="shared" si="18"/>
        <v>Etano</v>
      </c>
      <c r="B74" s="45">
        <f>I74/$I80</f>
        <v>0.017662626903157036</v>
      </c>
      <c r="C74" s="38">
        <f>((1+$L$13*(1-SQRT($B69/$C$13)))^2)</f>
        <v>1.0111414055455135</v>
      </c>
      <c r="D74" s="86">
        <f>C74*$M$13*$B68/$B$7/$B$7/$B69/$B69</f>
        <v>0.03050265433741797</v>
      </c>
      <c r="E74" s="49">
        <f>$N$13*$B68/$B$7/$B69</f>
        <v>0.006007529323421193</v>
      </c>
      <c r="F74" s="37"/>
      <c r="G74" s="37">
        <f>FugacityZ(F73,2,B73:B79,D73:D79,E73:E79,$E$12:$K$18)</f>
        <v>8.924552790699888</v>
      </c>
      <c r="H74" s="20">
        <f aca="true" t="shared" si="19" ref="H74:H79">G60/O60</f>
        <v>9.058675183342446</v>
      </c>
      <c r="I74" s="4">
        <f aca="true" t="shared" si="20" ref="I74:I79">J74/H74</f>
        <v>0.01766262690312775</v>
      </c>
      <c r="J74" s="96">
        <f aca="true" t="shared" si="21" ref="J74:J79">J60</f>
        <v>0.16</v>
      </c>
      <c r="K74" s="97">
        <f>((1+$L$13*(1-SQRT($B69/$C$13)))^2)</f>
        <v>1.0111414055455135</v>
      </c>
      <c r="L74" s="98">
        <f>K74*$M$13*$B68/$B$7/$B$7/$B69/$B69</f>
        <v>0.03050265433741797</v>
      </c>
      <c r="M74" s="99">
        <f>$N$13*$B68/$B$7/$B69</f>
        <v>0.006007529323421193</v>
      </c>
      <c r="N74" s="95"/>
      <c r="O74" s="95">
        <f>FugacityZ(N73,2,J73:J79,L73:L79,M73:M79,$E$12:$K$18)</f>
        <v>0.9851939890233411</v>
      </c>
    </row>
    <row r="75" spans="1:15" ht="15" customHeight="1">
      <c r="A75" s="31" t="str">
        <f t="shared" si="18"/>
        <v>Propano</v>
      </c>
      <c r="B75" s="45">
        <f>I75/$I80</f>
        <v>0.08680501777000664</v>
      </c>
      <c r="C75" s="38">
        <f>((1+$L$14*(1-SQRT($B69/$C$14)))^2)</f>
        <v>1.1472378704964072</v>
      </c>
      <c r="D75" s="48">
        <f>C75*$M$14*$B68/$B$7/$B$7/$B69/$B69</f>
        <v>0.05823656519261661</v>
      </c>
      <c r="E75" s="49">
        <f>$N$14*$B68/$B$7/$B69</f>
        <v>0.008345753527191524</v>
      </c>
      <c r="F75" s="37"/>
      <c r="G75" s="37">
        <f>FugacityZ(F73,3,B73:B79,D73:D79,E73:E79,$E$12:$K$18)</f>
        <v>2.629443740053725</v>
      </c>
      <c r="H75" s="20">
        <f t="shared" si="19"/>
        <v>2.764817128847177</v>
      </c>
      <c r="I75" s="4">
        <f t="shared" si="20"/>
        <v>0.08680501776986271</v>
      </c>
      <c r="J75" s="96">
        <f t="shared" si="21"/>
        <v>0.24</v>
      </c>
      <c r="K75" s="97">
        <f>((1+$L$14*(1-SQRT($B69/$C$14)))^2)</f>
        <v>1.1472378704964072</v>
      </c>
      <c r="L75" s="98">
        <f>K75*$M$14*$B68/$B$7/$B$7/$B69/$B69</f>
        <v>0.05823656519261661</v>
      </c>
      <c r="M75" s="99">
        <f>$N$14*$B68/$B$7/$B69</f>
        <v>0.008345753527191524</v>
      </c>
      <c r="N75" s="95"/>
      <c r="O75" s="95">
        <f>FugacityZ(N73,3,J73:J79,L73:L79,M73:M79,$E$12:$K$18)</f>
        <v>0.9510366801910681</v>
      </c>
    </row>
    <row r="76" spans="1:15" ht="15" customHeight="1">
      <c r="A76" s="31" t="str">
        <f t="shared" si="18"/>
        <v>i-Butano</v>
      </c>
      <c r="B76" s="45">
        <f>I76/$I80</f>
        <v>0.25449059702535337</v>
      </c>
      <c r="C76" s="38">
        <f>((1+$L$15*(1-SQRT($B69/$C$15)))^2)</f>
        <v>1.2282030306524951</v>
      </c>
      <c r="D76" s="48">
        <f>C76*$M$15*$B68/$B$7/$B$7/$B69/$B69</f>
        <v>0.08842115141466385</v>
      </c>
      <c r="E76" s="49">
        <f>$N$15*$B68/$B$7/$B69</f>
        <v>0.010725122362267211</v>
      </c>
      <c r="F76" s="37"/>
      <c r="G76" s="37">
        <f>FugacityZ(F73,4,B73:B79,D73:D79,E73:E79,$E$12:$K$18)</f>
        <v>1.0158200397403236</v>
      </c>
      <c r="H76" s="20">
        <f t="shared" si="19"/>
        <v>1.1002371139573757</v>
      </c>
      <c r="I76" s="4">
        <f t="shared" si="20"/>
        <v>0.25449059702493143</v>
      </c>
      <c r="J76" s="96">
        <f t="shared" si="21"/>
        <v>0.28</v>
      </c>
      <c r="K76" s="97">
        <f>((1+$L$15*(1-SQRT($B69/$C$15)))^2)</f>
        <v>1.2282030306524951</v>
      </c>
      <c r="L76" s="98">
        <f>K76*$M$15*$B68/$B$7/$B$7/$B69/$B69</f>
        <v>0.08842115141466385</v>
      </c>
      <c r="M76" s="99">
        <f>$N$15*$B68/$B$7/$B69</f>
        <v>0.010725122362267211</v>
      </c>
      <c r="N76" s="95"/>
      <c r="O76" s="95">
        <f>FugacityZ(N73,4,J73:J79,L73:L79,M73:M79,$E$12:$K$18)</f>
        <v>0.923273582582732</v>
      </c>
    </row>
    <row r="77" spans="1:15" ht="15" customHeight="1">
      <c r="A77" s="31" t="str">
        <f t="shared" si="18"/>
        <v>n-Butano</v>
      </c>
      <c r="B77" s="45">
        <f>I77/$I80</f>
        <v>0.1710769839509013</v>
      </c>
      <c r="C77" s="38">
        <f>((1+$L$16*(1-SQRT($B69/$C$16)))^2)</f>
        <v>1.2679685906857454</v>
      </c>
      <c r="D77" s="48">
        <f>C77*$M$16*$B68/$B$7/$B$7/$B69/$B69</f>
        <v>0.0951760938074697</v>
      </c>
      <c r="E77" s="49">
        <f>$N$16*$B68/$B$7/$B69</f>
        <v>0.010735771478768747</v>
      </c>
      <c r="F77" s="37"/>
      <c r="G77" s="37">
        <f>FugacityZ(F73,5,B73:B79,D73:D79,E73:E79,$E$12:$K$18)</f>
        <v>0.7514180442549969</v>
      </c>
      <c r="H77" s="20">
        <f t="shared" si="19"/>
        <v>0.8183450325521977</v>
      </c>
      <c r="I77" s="4">
        <f t="shared" si="20"/>
        <v>0.17107698395061766</v>
      </c>
      <c r="J77" s="96">
        <f t="shared" si="21"/>
        <v>0.14</v>
      </c>
      <c r="K77" s="97">
        <f>((1+$L$16*(1-SQRT($B69/$C$16)))^2)</f>
        <v>1.2679685906857454</v>
      </c>
      <c r="L77" s="98">
        <f>K77*$M$16*$B68/$B$7/$B$7/$B69/$B69</f>
        <v>0.0951760938074697</v>
      </c>
      <c r="M77" s="99">
        <f>$N$16*$B68/$B$7/$B69</f>
        <v>0.010735771478768747</v>
      </c>
      <c r="N77" s="95"/>
      <c r="O77" s="95">
        <f>FugacityZ(N73,5,J73:J79,L73:L79,M73:M79,$E$12:$K$18)</f>
        <v>0.9182163066082452</v>
      </c>
    </row>
    <row r="78" spans="1:15" ht="15" customHeight="1">
      <c r="A78" s="31" t="str">
        <f t="shared" si="18"/>
        <v>i-Pentano</v>
      </c>
      <c r="B78" s="45">
        <f>I78/$I80</f>
        <v>0.3128107496460041</v>
      </c>
      <c r="C78" s="38">
        <f>((1+$L$17*(1-SQRT($B69/$C$17)))^2)</f>
        <v>1.345179244574965</v>
      </c>
      <c r="D78" s="48">
        <f>C78*$M$17*$B68/$B$7/$B$7/$B69/$B69</f>
        <v>0.13297950854533186</v>
      </c>
      <c r="E78" s="49">
        <f>$N$17*$B68/$B$7/$B69</f>
        <v>0.013054684109469392</v>
      </c>
      <c r="F78" s="36"/>
      <c r="G78" s="37">
        <f>FugacityZ(F73,6,B73:B79,D73:D79,E73:E79,$E$12:$K$18)</f>
        <v>0.28500506784941715</v>
      </c>
      <c r="H78" s="20">
        <f t="shared" si="19"/>
        <v>0.31968210847399575</v>
      </c>
      <c r="I78" s="4">
        <f t="shared" si="20"/>
        <v>0.31281074964548544</v>
      </c>
      <c r="J78" s="96">
        <f t="shared" si="21"/>
        <v>0.1</v>
      </c>
      <c r="K78" s="97">
        <f>((1+$L$17*(1-SQRT($B69/$C$17)))^2)</f>
        <v>1.345179244574965</v>
      </c>
      <c r="L78" s="98">
        <f>K78*$M$17*$B68/$B$7/$B$7/$B69/$B69</f>
        <v>0.13297950854533186</v>
      </c>
      <c r="M78" s="99">
        <f>$N$17*$B68/$B$7/$B69</f>
        <v>0.013054684109469392</v>
      </c>
      <c r="N78" s="100"/>
      <c r="O78" s="95">
        <f>FugacityZ(N73,6,J73:J79,L73:L79,M73:M79,$E$12:$K$18)</f>
        <v>0.8915264655121089</v>
      </c>
    </row>
    <row r="79" spans="1:15" ht="15" customHeight="1" thickBot="1">
      <c r="A79" s="31" t="str">
        <f t="shared" si="18"/>
        <v>n-Pentano</v>
      </c>
      <c r="B79" s="81">
        <f>I79/$I80</f>
        <v>0.15633111062817223</v>
      </c>
      <c r="C79" s="39">
        <f>((1+$L$18*(1-SQRT($B69/$C$18)))^2)</f>
        <v>1.377451145867071</v>
      </c>
      <c r="D79" s="50">
        <f>C79*$M$18*$B68/$B$7/$B$7/$B69/$B69</f>
        <v>0.14217064534501664</v>
      </c>
      <c r="E79" s="51">
        <f>$N$18*$B68/$B$7/$B69</f>
        <v>0.013360988326382743</v>
      </c>
      <c r="F79" s="36"/>
      <c r="G79" s="37">
        <f>FugacityZ(F73,7,B73:B79,D73:D79,E73:E79,$E$12:$K$18)</f>
        <v>0.22695757345243567</v>
      </c>
      <c r="H79" s="20">
        <f t="shared" si="19"/>
        <v>0.2558671772965577</v>
      </c>
      <c r="I79" s="4">
        <f t="shared" si="20"/>
        <v>0.15633111062791302</v>
      </c>
      <c r="J79" s="101">
        <f t="shared" si="21"/>
        <v>0.04</v>
      </c>
      <c r="K79" s="102">
        <f>((1+$L$18*(1-SQRT($B69/$C$18)))^2)</f>
        <v>1.377451145867071</v>
      </c>
      <c r="L79" s="103">
        <f>K79*$M$18*$B68/$B$7/$B$7/$B69/$B69</f>
        <v>0.14217064534501664</v>
      </c>
      <c r="M79" s="104">
        <f>$N$18*$B68/$B$7/$B69</f>
        <v>0.013360988326382743</v>
      </c>
      <c r="N79" s="100"/>
      <c r="O79" s="95">
        <f>FugacityZ(N73,7,J73:J79,L73:L79,M73:M79,$E$12:$K$18)</f>
        <v>0.8870141520619058</v>
      </c>
    </row>
    <row r="80" spans="1:15" ht="15" customHeight="1" thickBot="1">
      <c r="A80" s="19" t="s">
        <v>4</v>
      </c>
      <c r="B80" s="39">
        <f>SUM(B73:B79)</f>
        <v>1</v>
      </c>
      <c r="C80" s="40"/>
      <c r="D80" s="39">
        <f>amixture(B73:B79,D73:D79,$E$12:$K$18)</f>
        <v>0.10580511211741624</v>
      </c>
      <c r="E80" s="41">
        <f>bmixture(B73:B79,E73:E79)</f>
        <v>0.01157230063338483</v>
      </c>
      <c r="F80" s="42"/>
      <c r="G80" s="42"/>
      <c r="H80" s="28"/>
      <c r="I80" s="30">
        <f>SUM(I73:I79)</f>
        <v>0.999999999998342</v>
      </c>
      <c r="J80" s="102">
        <f>SUM(J73:J79)</f>
        <v>1</v>
      </c>
      <c r="K80" s="105"/>
      <c r="L80" s="102">
        <f>amixture(J73:J79,L73:L79,$E$12:$K$18)</f>
        <v>0.07169527199452158</v>
      </c>
      <c r="M80" s="106">
        <f>bmixture(J73:J79,M73:M79)</f>
        <v>0.009469021653976822</v>
      </c>
      <c r="N80" s="107"/>
      <c r="O80" s="107"/>
    </row>
    <row r="81" ht="15" customHeight="1"/>
    <row r="82" spans="1:15" ht="15" customHeight="1">
      <c r="A82" s="3" t="s">
        <v>1</v>
      </c>
      <c r="B82" s="43">
        <f>B68</f>
        <v>331931.8925277364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5" customHeight="1">
      <c r="A83" s="3" t="s">
        <v>2</v>
      </c>
      <c r="B83" s="4">
        <f>B69</f>
        <v>300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5" customHeight="1" thickBot="1">
      <c r="A84" s="3"/>
      <c r="B84" s="3"/>
      <c r="C84" s="3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5" customHeight="1" thickBot="1">
      <c r="A85" s="3"/>
      <c r="B85" s="118" t="s">
        <v>16</v>
      </c>
      <c r="C85" s="119"/>
      <c r="D85" s="119"/>
      <c r="E85" s="119"/>
      <c r="F85" s="119"/>
      <c r="G85" s="120"/>
      <c r="H85" s="3"/>
      <c r="I85" s="3"/>
      <c r="J85" s="121" t="s">
        <v>17</v>
      </c>
      <c r="K85" s="122"/>
      <c r="L85" s="122"/>
      <c r="M85" s="122"/>
      <c r="N85" s="122"/>
      <c r="O85" s="123"/>
    </row>
    <row r="86" spans="1:15" ht="15" customHeight="1" thickBot="1">
      <c r="A86" s="19" t="s">
        <v>0</v>
      </c>
      <c r="B86" s="32" t="s">
        <v>37</v>
      </c>
      <c r="C86" s="33" t="s">
        <v>23</v>
      </c>
      <c r="D86" s="32" t="s">
        <v>14</v>
      </c>
      <c r="E86" s="34" t="s">
        <v>15</v>
      </c>
      <c r="F86" s="35" t="s">
        <v>20</v>
      </c>
      <c r="G86" s="85" t="s">
        <v>19</v>
      </c>
      <c r="H86" s="28" t="s">
        <v>26</v>
      </c>
      <c r="I86" s="30" t="s">
        <v>38</v>
      </c>
      <c r="J86" s="87" t="s">
        <v>36</v>
      </c>
      <c r="K86" s="88" t="s">
        <v>48</v>
      </c>
      <c r="L86" s="87" t="s">
        <v>14</v>
      </c>
      <c r="M86" s="89" t="s">
        <v>15</v>
      </c>
      <c r="N86" s="90" t="s">
        <v>21</v>
      </c>
      <c r="O86" s="91" t="s">
        <v>19</v>
      </c>
    </row>
    <row r="87" spans="1:15" ht="15" customHeight="1">
      <c r="A87" s="31" t="str">
        <f aca="true" t="shared" si="22" ref="A87:A93">A73</f>
        <v>Metano</v>
      </c>
      <c r="B87" s="44">
        <f>I87/$I94</f>
        <v>0.0008229138358019935</v>
      </c>
      <c r="C87" s="32">
        <f>((1+$L$12*(1-SQRT($B83/$C$12)))^2)</f>
        <v>0.7623371020943167</v>
      </c>
      <c r="D87" s="46">
        <f>C87*$M$12*$B82/$B$7/$B$7/$B83/$B83</f>
        <v>0.009490473446689338</v>
      </c>
      <c r="E87" s="47">
        <f>$N$12*$B82/$B$7/$B83</f>
        <v>0.003972147580969278</v>
      </c>
      <c r="F87" s="37">
        <f>SolLiquidaz(B87:B93,D87:D93,E87:E93,$E$12:$K$18)</f>
        <v>0.015537656466882821</v>
      </c>
      <c r="G87" s="37">
        <f>FugacityZ(F87,1,B87:B93,D87:D93,E87:E93,$E$12:$K$18)</f>
        <v>49.96824876453648</v>
      </c>
      <c r="H87" s="20">
        <f>G73/O73</f>
        <v>48.607762149262065</v>
      </c>
      <c r="I87" s="4">
        <f>J87/H87</f>
        <v>0.0008229138358019895</v>
      </c>
      <c r="J87" s="92">
        <f>J73</f>
        <v>0.04</v>
      </c>
      <c r="K87" s="87">
        <f>((1+$L$12*(1-SQRT($B83/$C$12)))^2)</f>
        <v>0.7623371020943167</v>
      </c>
      <c r="L87" s="93">
        <f>K87*$M$12*$B82/$B$7/$B$7/$B83/$B83</f>
        <v>0.009490473446689338</v>
      </c>
      <c r="M87" s="94">
        <f>$N$12*$B82/$B$7/$B83</f>
        <v>0.003972147580969278</v>
      </c>
      <c r="N87" s="95">
        <f>SolVaporz(J87:J93,L87:L93,M87:M93,$E$12:$K$18)</f>
        <v>0.9342695694230936</v>
      </c>
      <c r="O87" s="95">
        <f>FugacityZ(N87,1,J87:J93,L87:L93,M87:M93,$E$12:$K$18)</f>
        <v>1.027989055131691</v>
      </c>
    </row>
    <row r="88" spans="1:15" ht="15" customHeight="1">
      <c r="A88" s="31" t="str">
        <f t="shared" si="22"/>
        <v>Etano</v>
      </c>
      <c r="B88" s="45">
        <f>I88/$I94</f>
        <v>0.017662626009451114</v>
      </c>
      <c r="C88" s="38">
        <f>((1+$L$13*(1-SQRT($B83/$C$13)))^2)</f>
        <v>1.0111414055455135</v>
      </c>
      <c r="D88" s="86">
        <f>C88*$M$13*$B82/$B$7/$B$7/$B83/$B83</f>
        <v>0.03050265433741797</v>
      </c>
      <c r="E88" s="49">
        <f>$N$13*$B82/$B$7/$B83</f>
        <v>0.006007529323421193</v>
      </c>
      <c r="F88" s="37"/>
      <c r="G88" s="37">
        <f>FugacityZ(F87,2,B87:B93,D87:D93,E87:E93,$E$12:$K$18)</f>
        <v>8.924552908753022</v>
      </c>
      <c r="H88" s="20">
        <f aca="true" t="shared" si="23" ref="H88:H93">G74/O74</f>
        <v>9.058675641684664</v>
      </c>
      <c r="I88" s="4">
        <f aca="true" t="shared" si="24" ref="I88:I93">J88/H88</f>
        <v>0.017662626009451027</v>
      </c>
      <c r="J88" s="96">
        <f aca="true" t="shared" si="25" ref="J88:J93">J74</f>
        <v>0.16</v>
      </c>
      <c r="K88" s="97">
        <f>((1+$L$13*(1-SQRT($B83/$C$13)))^2)</f>
        <v>1.0111414055455135</v>
      </c>
      <c r="L88" s="98">
        <f>K88*$M$13*$B82/$B$7/$B$7/$B83/$B83</f>
        <v>0.03050265433741797</v>
      </c>
      <c r="M88" s="99">
        <f>$N$13*$B82/$B$7/$B83</f>
        <v>0.006007529323421193</v>
      </c>
      <c r="N88" s="95"/>
      <c r="O88" s="95">
        <f>FugacityZ(N87,2,J87:J93,L87:L93,M87:M93,$E$12:$K$18)</f>
        <v>0.9851939890233411</v>
      </c>
    </row>
    <row r="89" spans="1:15" ht="15" customHeight="1">
      <c r="A89" s="31" t="str">
        <f t="shared" si="22"/>
        <v>Propano</v>
      </c>
      <c r="B89" s="45">
        <f>I89/$I94</f>
        <v>0.08680497694968513</v>
      </c>
      <c r="C89" s="38">
        <f>((1+$L$14*(1-SQRT($B83/$C$14)))^2)</f>
        <v>1.1472378704964072</v>
      </c>
      <c r="D89" s="48">
        <f>C89*$M$14*$B82/$B$7/$B$7/$B83/$B83</f>
        <v>0.05823656519261661</v>
      </c>
      <c r="E89" s="49">
        <f>$N$14*$B82/$B$7/$B83</f>
        <v>0.008345753527191524</v>
      </c>
      <c r="F89" s="37"/>
      <c r="G89" s="37">
        <f>FugacityZ(F87,3,B87:B93,D87:D93,E87:E93,$E$12:$K$18)</f>
        <v>2.629443832494641</v>
      </c>
      <c r="H89" s="20">
        <f t="shared" si="23"/>
        <v>2.7648184290068145</v>
      </c>
      <c r="I89" s="4">
        <f t="shared" si="24"/>
        <v>0.0868049769496847</v>
      </c>
      <c r="J89" s="96">
        <f t="shared" si="25"/>
        <v>0.24</v>
      </c>
      <c r="K89" s="97">
        <f>((1+$L$14*(1-SQRT($B83/$C$14)))^2)</f>
        <v>1.1472378704964072</v>
      </c>
      <c r="L89" s="98">
        <f>K89*$M$14*$B82/$B$7/$B$7/$B83/$B83</f>
        <v>0.05823656519261661</v>
      </c>
      <c r="M89" s="99">
        <f>$N$14*$B82/$B$7/$B83</f>
        <v>0.008345753527191524</v>
      </c>
      <c r="N89" s="95"/>
      <c r="O89" s="95">
        <f>FugacityZ(N87,3,J87:J93,L87:L93,M87:M93,$E$12:$K$18)</f>
        <v>0.9510366801910681</v>
      </c>
    </row>
    <row r="90" spans="1:15" ht="15" customHeight="1">
      <c r="A90" s="31" t="str">
        <f t="shared" si="22"/>
        <v>i-Butano</v>
      </c>
      <c r="B90" s="45">
        <f>I90/$I94</f>
        <v>0.25449055246956087</v>
      </c>
      <c r="C90" s="38">
        <f>((1+$L$15*(1-SQRT($B83/$C$15)))^2)</f>
        <v>1.2282030306524951</v>
      </c>
      <c r="D90" s="48">
        <f>C90*$M$15*$B82/$B$7/$B$7/$B83/$B83</f>
        <v>0.08842115141466385</v>
      </c>
      <c r="E90" s="49">
        <f>$N$15*$B82/$B$7/$B83</f>
        <v>0.010725122362267211</v>
      </c>
      <c r="F90" s="37"/>
      <c r="G90" s="37">
        <f>FugacityZ(F87,4,B87:B93,D87:D93,E87:E93,$E$12:$K$18)</f>
        <v>1.0158200411510208</v>
      </c>
      <c r="H90" s="20">
        <f t="shared" si="23"/>
        <v>1.1002373065832833</v>
      </c>
      <c r="I90" s="4">
        <f t="shared" si="24"/>
        <v>0.25449055246955965</v>
      </c>
      <c r="J90" s="96">
        <f t="shared" si="25"/>
        <v>0.28</v>
      </c>
      <c r="K90" s="97">
        <f>((1+$L$15*(1-SQRT($B83/$C$15)))^2)</f>
        <v>1.2282030306524951</v>
      </c>
      <c r="L90" s="98">
        <f>K90*$M$15*$B82/$B$7/$B$7/$B83/$B83</f>
        <v>0.08842115141466385</v>
      </c>
      <c r="M90" s="99">
        <f>$N$15*$B82/$B$7/$B83</f>
        <v>0.010725122362267211</v>
      </c>
      <c r="N90" s="95"/>
      <c r="O90" s="95">
        <f>FugacityZ(N87,4,J87:J93,L87:L93,M87:M93,$E$12:$K$18)</f>
        <v>0.923273582582732</v>
      </c>
    </row>
    <row r="91" spans="1:15" ht="15" customHeight="1">
      <c r="A91" s="31" t="str">
        <f t="shared" si="22"/>
        <v>n-Butano</v>
      </c>
      <c r="B91" s="45">
        <f>I91/$I94</f>
        <v>0.17107691771310576</v>
      </c>
      <c r="C91" s="38">
        <f>((1+$L$16*(1-SQRT($B83/$C$16)))^2)</f>
        <v>1.2679685906857454</v>
      </c>
      <c r="D91" s="48">
        <f>C91*$M$16*$B82/$B$7/$B$7/$B83/$B83</f>
        <v>0.0951760938074697</v>
      </c>
      <c r="E91" s="49">
        <f>$N$16*$B82/$B$7/$B83</f>
        <v>0.010735771478768747</v>
      </c>
      <c r="F91" s="37"/>
      <c r="G91" s="37">
        <f>FugacityZ(F87,5,B87:B93,D87:D93,E87:E93,$E$12:$K$18)</f>
        <v>0.7514180667010341</v>
      </c>
      <c r="H91" s="20">
        <f t="shared" si="23"/>
        <v>0.8183453493987966</v>
      </c>
      <c r="I91" s="4">
        <f t="shared" si="24"/>
        <v>0.17107691771310493</v>
      </c>
      <c r="J91" s="96">
        <f t="shared" si="25"/>
        <v>0.14</v>
      </c>
      <c r="K91" s="97">
        <f>((1+$L$16*(1-SQRT($B83/$C$16)))^2)</f>
        <v>1.2679685906857454</v>
      </c>
      <c r="L91" s="98">
        <f>K91*$M$16*$B82/$B$7/$B$7/$B83/$B83</f>
        <v>0.0951760938074697</v>
      </c>
      <c r="M91" s="99">
        <f>$N$16*$B82/$B$7/$B83</f>
        <v>0.010735771478768747</v>
      </c>
      <c r="N91" s="95"/>
      <c r="O91" s="95">
        <f>FugacityZ(N87,5,J87:J93,L87:L93,M87:M93,$E$12:$K$18)</f>
        <v>0.9182163066082452</v>
      </c>
    </row>
    <row r="92" spans="1:15" ht="15" customHeight="1">
      <c r="A92" s="31" t="str">
        <f t="shared" si="22"/>
        <v>i-Pentano</v>
      </c>
      <c r="B92" s="45">
        <f>I92/$I94</f>
        <v>0.3128107413104502</v>
      </c>
      <c r="C92" s="38">
        <f>((1+$L$17*(1-SQRT($B83/$C$17)))^2)</f>
        <v>1.345179244574965</v>
      </c>
      <c r="D92" s="48">
        <f>C92*$M$17*$B82/$B$7/$B$7/$B83/$B83</f>
        <v>0.13297950854533186</v>
      </c>
      <c r="E92" s="49">
        <f>$N$17*$B82/$B$7/$B83</f>
        <v>0.013054684109469392</v>
      </c>
      <c r="F92" s="36"/>
      <c r="G92" s="37">
        <f>FugacityZ(F87,6,B87:B93,D87:D93,E87:E93,$E$12:$K$18)</f>
        <v>0.28500506486185506</v>
      </c>
      <c r="H92" s="20">
        <f t="shared" si="23"/>
        <v>0.3196821169921244</v>
      </c>
      <c r="I92" s="4">
        <f t="shared" si="24"/>
        <v>0.31281074131044867</v>
      </c>
      <c r="J92" s="96">
        <f t="shared" si="25"/>
        <v>0.1</v>
      </c>
      <c r="K92" s="97">
        <f>((1+$L$17*(1-SQRT($B83/$C$17)))^2)</f>
        <v>1.345179244574965</v>
      </c>
      <c r="L92" s="98">
        <f>K92*$M$17*$B82/$B$7/$B$7/$B83/$B83</f>
        <v>0.13297950854533186</v>
      </c>
      <c r="M92" s="99">
        <f>$N$17*$B82/$B$7/$B83</f>
        <v>0.013054684109469392</v>
      </c>
      <c r="N92" s="100"/>
      <c r="O92" s="95">
        <f>FugacityZ(N87,6,J87:J93,L87:L93,M87:M93,$E$12:$K$18)</f>
        <v>0.8915264655121089</v>
      </c>
    </row>
    <row r="93" spans="1:15" ht="15" customHeight="1" thickBot="1">
      <c r="A93" s="31" t="str">
        <f t="shared" si="22"/>
        <v>n-Pentano</v>
      </c>
      <c r="B93" s="81">
        <f>I93/$I94</f>
        <v>0.15633127171194489</v>
      </c>
      <c r="C93" s="39">
        <f>((1+$L$18*(1-SQRT($B83/$C$18)))^2)</f>
        <v>1.377451145867071</v>
      </c>
      <c r="D93" s="50">
        <f>C93*$M$18*$B82/$B$7/$B$7/$B83/$B83</f>
        <v>0.14217064534501664</v>
      </c>
      <c r="E93" s="51">
        <f>$N$18*$B82/$B$7/$B83</f>
        <v>0.013360988326382743</v>
      </c>
      <c r="F93" s="36"/>
      <c r="G93" s="37">
        <f>FugacityZ(F87,7,B87:B93,D87:D93,E87:E93,$E$12:$K$18)</f>
        <v>0.2269575654804912</v>
      </c>
      <c r="H93" s="20">
        <f t="shared" si="23"/>
        <v>0.2558669136505457</v>
      </c>
      <c r="I93" s="4">
        <f t="shared" si="24"/>
        <v>0.1563312717119441</v>
      </c>
      <c r="J93" s="101">
        <f t="shared" si="25"/>
        <v>0.04</v>
      </c>
      <c r="K93" s="102">
        <f>((1+$L$18*(1-SQRT($B83/$C$18)))^2)</f>
        <v>1.377451145867071</v>
      </c>
      <c r="L93" s="103">
        <f>K93*$M$18*$B82/$B$7/$B$7/$B83/$B83</f>
        <v>0.14217064534501664</v>
      </c>
      <c r="M93" s="104">
        <f>$N$18*$B82/$B$7/$B83</f>
        <v>0.013360988326382743</v>
      </c>
      <c r="N93" s="100"/>
      <c r="O93" s="95">
        <f>FugacityZ(N87,7,J87:J93,L87:L93,M87:M93,$E$12:$K$18)</f>
        <v>0.8870141520619058</v>
      </c>
    </row>
    <row r="94" spans="1:15" ht="15" customHeight="1" thickBot="1">
      <c r="A94" s="19" t="s">
        <v>4</v>
      </c>
      <c r="B94" s="39">
        <f>SUM(B87:B93)</f>
        <v>1</v>
      </c>
      <c r="C94" s="40"/>
      <c r="D94" s="39">
        <f>amixture(B87:B93,D87:D93,$E$12:$K$18)</f>
        <v>0.10580512110997631</v>
      </c>
      <c r="E94" s="41">
        <f>bmixture(B87:B93,E87:E93)</f>
        <v>0.011572301140824033</v>
      </c>
      <c r="F94" s="42"/>
      <c r="G94" s="42"/>
      <c r="H94" s="28"/>
      <c r="I94" s="30">
        <f>SUM(I87:I93)</f>
        <v>0.9999999999999951</v>
      </c>
      <c r="J94" s="102">
        <f>SUM(J87:J93)</f>
        <v>1</v>
      </c>
      <c r="K94" s="105"/>
      <c r="L94" s="102">
        <f>amixture(J87:J93,L87:L93,$E$12:$K$18)</f>
        <v>0.07169527199452158</v>
      </c>
      <c r="M94" s="106">
        <f>bmixture(J87:J93,M87:M93)</f>
        <v>0.009469021653976822</v>
      </c>
      <c r="N94" s="107"/>
      <c r="O94" s="107"/>
    </row>
    <row r="95" ht="15" customHeight="1"/>
    <row r="96" spans="1:15" ht="15" customHeight="1">
      <c r="A96" s="3" t="s">
        <v>1</v>
      </c>
      <c r="B96" s="43">
        <f>B82</f>
        <v>331931.8925277364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5" customHeight="1">
      <c r="A97" s="3" t="s">
        <v>2</v>
      </c>
      <c r="B97" s="4">
        <f>B83</f>
        <v>300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5" customHeight="1" thickBot="1">
      <c r="A98" s="3"/>
      <c r="B98" s="3"/>
      <c r="C98" s="3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5" customHeight="1" thickBot="1">
      <c r="A99" s="3"/>
      <c r="B99" s="118" t="s">
        <v>16</v>
      </c>
      <c r="C99" s="119"/>
      <c r="D99" s="119"/>
      <c r="E99" s="119"/>
      <c r="F99" s="119"/>
      <c r="G99" s="120"/>
      <c r="H99" s="3"/>
      <c r="I99" s="3"/>
      <c r="J99" s="121" t="s">
        <v>17</v>
      </c>
      <c r="K99" s="122"/>
      <c r="L99" s="122"/>
      <c r="M99" s="122"/>
      <c r="N99" s="122"/>
      <c r="O99" s="123"/>
    </row>
    <row r="100" spans="1:15" ht="15" customHeight="1" thickBot="1">
      <c r="A100" s="19" t="s">
        <v>0</v>
      </c>
      <c r="B100" s="32" t="s">
        <v>37</v>
      </c>
      <c r="C100" s="33" t="s">
        <v>23</v>
      </c>
      <c r="D100" s="32" t="s">
        <v>14</v>
      </c>
      <c r="E100" s="34" t="s">
        <v>15</v>
      </c>
      <c r="F100" s="35" t="s">
        <v>20</v>
      </c>
      <c r="G100" s="85" t="s">
        <v>19</v>
      </c>
      <c r="H100" s="28" t="s">
        <v>26</v>
      </c>
      <c r="I100" s="30" t="s">
        <v>38</v>
      </c>
      <c r="J100" s="87" t="s">
        <v>36</v>
      </c>
      <c r="K100" s="88" t="s">
        <v>48</v>
      </c>
      <c r="L100" s="87" t="s">
        <v>14</v>
      </c>
      <c r="M100" s="89" t="s">
        <v>15</v>
      </c>
      <c r="N100" s="90" t="s">
        <v>21</v>
      </c>
      <c r="O100" s="91" t="s">
        <v>19</v>
      </c>
    </row>
    <row r="101" spans="1:15" ht="15" customHeight="1">
      <c r="A101" s="31" t="str">
        <f aca="true" t="shared" si="26" ref="A101:A107">A87</f>
        <v>Metano</v>
      </c>
      <c r="B101" s="44">
        <f>I101/$I108</f>
        <v>0.0008229138147112939</v>
      </c>
      <c r="C101" s="32">
        <f>((1+$L$12*(1-SQRT($B97/$C$12)))^2)</f>
        <v>0.7623371020943167</v>
      </c>
      <c r="D101" s="46">
        <f>C101*$M$12*$B96/$B$7/$B$7/$B97/$B97</f>
        <v>0.009490473446689338</v>
      </c>
      <c r="E101" s="47">
        <f>$N$12*$B96/$B$7/$B97</f>
        <v>0.003972147580969278</v>
      </c>
      <c r="F101" s="37">
        <f>SolLiquidaz(B101:B107,D101:D107,E101:E107,$E$12:$K$18)</f>
        <v>0.015537656492657537</v>
      </c>
      <c r="G101" s="37">
        <f>FugacityZ(F101,1,B101:B107,D101:D107,E101:E107,$E$12:$K$18)</f>
        <v>49.96824882094316</v>
      </c>
      <c r="H101" s="20">
        <f>G87/O87</f>
        <v>48.607763395044394</v>
      </c>
      <c r="I101" s="4">
        <f>J101/H101</f>
        <v>0.0008229138147112944</v>
      </c>
      <c r="J101" s="92">
        <f>J87</f>
        <v>0.04</v>
      </c>
      <c r="K101" s="87">
        <f>((1+$L$12*(1-SQRT($B97/$C$12)))^2)</f>
        <v>0.7623371020943167</v>
      </c>
      <c r="L101" s="93">
        <f>K101*$M$12*$B96/$B$7/$B$7/$B97/$B97</f>
        <v>0.009490473446689338</v>
      </c>
      <c r="M101" s="94">
        <f>$N$12*$B96/$B$7/$B97</f>
        <v>0.003972147580969278</v>
      </c>
      <c r="N101" s="95">
        <f>SolVaporz(J101:J107,L101:L107,M101:M107,$E$12:$K$18)</f>
        <v>0.9342695694230936</v>
      </c>
      <c r="O101" s="95">
        <f>FugacityZ(N101,1,J101:J107,L101:L107,M101:M107,$E$12:$K$18)</f>
        <v>1.027989055131691</v>
      </c>
    </row>
    <row r="102" spans="1:15" ht="15" customHeight="1">
      <c r="A102" s="31" t="str">
        <f t="shared" si="26"/>
        <v>Etano</v>
      </c>
      <c r="B102" s="45">
        <f>I102/$I108</f>
        <v>0.017662625775811486</v>
      </c>
      <c r="C102" s="38">
        <f>((1+$L$13*(1-SQRT($B97/$C$13)))^2)</f>
        <v>1.0111414055455135</v>
      </c>
      <c r="D102" s="86">
        <f>C102*$M$13*$B96/$B$7/$B$7/$B97/$B97</f>
        <v>0.03050265433741797</v>
      </c>
      <c r="E102" s="49">
        <f>$N$13*$B96/$B$7/$B97</f>
        <v>0.006007529323421193</v>
      </c>
      <c r="F102" s="37"/>
      <c r="G102" s="37">
        <f>FugacityZ(F101,2,B101:B107,D101:D107,E101:E107,$E$12:$K$18)</f>
        <v>8.924552913627922</v>
      </c>
      <c r="H102" s="20">
        <f aca="true" t="shared" si="27" ref="H102:H107">G88/O88</f>
        <v>9.058675761511962</v>
      </c>
      <c r="I102" s="4">
        <f aca="true" t="shared" si="28" ref="I102:I107">J102/H102</f>
        <v>0.017662625775811496</v>
      </c>
      <c r="J102" s="96">
        <f aca="true" t="shared" si="29" ref="J102:J107">J88</f>
        <v>0.16</v>
      </c>
      <c r="K102" s="97">
        <f>((1+$L$13*(1-SQRT($B97/$C$13)))^2)</f>
        <v>1.0111414055455135</v>
      </c>
      <c r="L102" s="98">
        <f>K102*$M$13*$B96/$B$7/$B$7/$B97/$B97</f>
        <v>0.03050265433741797</v>
      </c>
      <c r="M102" s="99">
        <f>$N$13*$B96/$B$7/$B97</f>
        <v>0.006007529323421193</v>
      </c>
      <c r="N102" s="95"/>
      <c r="O102" s="95">
        <f>FugacityZ(N101,2,J101:J107,L101:L107,M101:M107,$E$12:$K$18)</f>
        <v>0.9851939890233411</v>
      </c>
    </row>
    <row r="103" spans="1:15" ht="15" customHeight="1">
      <c r="A103" s="31" t="str">
        <f t="shared" si="26"/>
        <v>Propano</v>
      </c>
      <c r="B103" s="45">
        <f>I103/$I108</f>
        <v>0.08680497389796266</v>
      </c>
      <c r="C103" s="38">
        <f>((1+$L$14*(1-SQRT($B97/$C$14)))^2)</f>
        <v>1.1472378704964072</v>
      </c>
      <c r="D103" s="48">
        <f>C103*$M$14*$B96/$B$7/$B$7/$B97/$B97</f>
        <v>0.05823656519261661</v>
      </c>
      <c r="E103" s="49">
        <f>$N$14*$B96/$B$7/$B97</f>
        <v>0.008345753527191524</v>
      </c>
      <c r="F103" s="37"/>
      <c r="G103" s="37">
        <f>FugacityZ(F101,3,B101:B107,D101:D107,E101:E107,$E$12:$K$18)</f>
        <v>2.629443836484455</v>
      </c>
      <c r="H103" s="20">
        <f t="shared" si="27"/>
        <v>2.7648185262069727</v>
      </c>
      <c r="I103" s="4">
        <f t="shared" si="28"/>
        <v>0.08680497389796271</v>
      </c>
      <c r="J103" s="96">
        <f t="shared" si="29"/>
        <v>0.24</v>
      </c>
      <c r="K103" s="97">
        <f>((1+$L$14*(1-SQRT($B97/$C$14)))^2)</f>
        <v>1.1472378704964072</v>
      </c>
      <c r="L103" s="98">
        <f>K103*$M$14*$B96/$B$7/$B$7/$B97/$B97</f>
        <v>0.05823656519261661</v>
      </c>
      <c r="M103" s="99">
        <f>$N$14*$B96/$B$7/$B97</f>
        <v>0.008345753527191524</v>
      </c>
      <c r="N103" s="95"/>
      <c r="O103" s="95">
        <f>FugacityZ(N101,3,J101:J107,L101:L107,M101:M107,$E$12:$K$18)</f>
        <v>0.9510366801910681</v>
      </c>
    </row>
    <row r="104" spans="1:15" ht="15" customHeight="1">
      <c r="A104" s="31" t="str">
        <f t="shared" si="26"/>
        <v>i-Butano</v>
      </c>
      <c r="B104" s="45">
        <f>I104/$I108</f>
        <v>0.2544905521161414</v>
      </c>
      <c r="C104" s="38">
        <f>((1+$L$15*(1-SQRT($B97/$C$15)))^2)</f>
        <v>1.2282030306524951</v>
      </c>
      <c r="D104" s="48">
        <f>C104*$M$15*$B96/$B$7/$B$7/$B97/$B97</f>
        <v>0.08842115141466385</v>
      </c>
      <c r="E104" s="49">
        <f>$N$15*$B96/$B$7/$B97</f>
        <v>0.010725122362267211</v>
      </c>
      <c r="F104" s="37"/>
      <c r="G104" s="37">
        <f>FugacityZ(F101,4,B101:B107,D101:D107,E101:E107,$E$12:$K$18)</f>
        <v>1.015820041510875</v>
      </c>
      <c r="H104" s="20">
        <f t="shared" si="27"/>
        <v>1.1002373081112131</v>
      </c>
      <c r="I104" s="4">
        <f t="shared" si="28"/>
        <v>0.2544905521161416</v>
      </c>
      <c r="J104" s="96">
        <f t="shared" si="29"/>
        <v>0.28</v>
      </c>
      <c r="K104" s="97">
        <f>((1+$L$15*(1-SQRT($B97/$C$15)))^2)</f>
        <v>1.2282030306524951</v>
      </c>
      <c r="L104" s="98">
        <f>K104*$M$15*$B96/$B$7/$B$7/$B97/$B97</f>
        <v>0.08842115141466385</v>
      </c>
      <c r="M104" s="99">
        <f>$N$15*$B96/$B$7/$B97</f>
        <v>0.010725122362267211</v>
      </c>
      <c r="N104" s="95"/>
      <c r="O104" s="95">
        <f>FugacityZ(N101,4,J101:J107,L101:L107,M101:M107,$E$12:$K$18)</f>
        <v>0.923273582582732</v>
      </c>
    </row>
    <row r="105" spans="1:15" ht="15" customHeight="1">
      <c r="A105" s="31" t="str">
        <f t="shared" si="26"/>
        <v>n-Butano</v>
      </c>
      <c r="B105" s="45">
        <f>I105/$I108</f>
        <v>0.17107691260276872</v>
      </c>
      <c r="C105" s="38">
        <f>((1+$L$16*(1-SQRT($B97/$C$16)))^2)</f>
        <v>1.2679685906857454</v>
      </c>
      <c r="D105" s="48">
        <f>C105*$M$16*$B96/$B$7/$B$7/$B97/$B97</f>
        <v>0.0951760938074697</v>
      </c>
      <c r="E105" s="49">
        <f>$N$16*$B96/$B$7/$B97</f>
        <v>0.010735771478768747</v>
      </c>
      <c r="F105" s="37"/>
      <c r="G105" s="37">
        <f>FugacityZ(F101,5,B101:B107,D101:D107,E101:E107,$E$12:$K$18)</f>
        <v>0.7514180675588533</v>
      </c>
      <c r="H105" s="20">
        <f t="shared" si="27"/>
        <v>0.8183453738440575</v>
      </c>
      <c r="I105" s="4">
        <f t="shared" si="28"/>
        <v>0.17107691260276883</v>
      </c>
      <c r="J105" s="96">
        <f t="shared" si="29"/>
        <v>0.14</v>
      </c>
      <c r="K105" s="97">
        <f>((1+$L$16*(1-SQRT($B97/$C$16)))^2)</f>
        <v>1.2679685906857454</v>
      </c>
      <c r="L105" s="98">
        <f>K105*$M$16*$B96/$B$7/$B$7/$B97/$B97</f>
        <v>0.0951760938074697</v>
      </c>
      <c r="M105" s="99">
        <f>$N$16*$B96/$B$7/$B97</f>
        <v>0.010735771478768747</v>
      </c>
      <c r="N105" s="95"/>
      <c r="O105" s="95">
        <f>FugacityZ(N101,5,J101:J107,L101:L107,M101:M107,$E$12:$K$18)</f>
        <v>0.9182163066082452</v>
      </c>
    </row>
    <row r="106" spans="1:15" ht="15" customHeight="1">
      <c r="A106" s="31" t="str">
        <f t="shared" si="26"/>
        <v>i-Pentano</v>
      </c>
      <c r="B106" s="45">
        <f>I106/$I108</f>
        <v>0.31281074458948316</v>
      </c>
      <c r="C106" s="38">
        <f>((1+$L$17*(1-SQRT($B97/$C$17)))^2)</f>
        <v>1.345179244574965</v>
      </c>
      <c r="D106" s="48">
        <f>C106*$M$17*$B96/$B$7/$B$7/$B97/$B97</f>
        <v>0.13297950854533186</v>
      </c>
      <c r="E106" s="49">
        <f>$N$17*$B96/$B$7/$B97</f>
        <v>0.013054684109469392</v>
      </c>
      <c r="F106" s="36"/>
      <c r="G106" s="37">
        <f>FugacityZ(F101,6,B101:B107,D101:D107,E101:E107,$E$12:$K$18)</f>
        <v>0.2850050647726155</v>
      </c>
      <c r="H106" s="20">
        <f t="shared" si="27"/>
        <v>0.3196821136410606</v>
      </c>
      <c r="I106" s="4">
        <f t="shared" si="28"/>
        <v>0.3128107445894834</v>
      </c>
      <c r="J106" s="96">
        <f t="shared" si="29"/>
        <v>0.1</v>
      </c>
      <c r="K106" s="97">
        <f>((1+$L$17*(1-SQRT($B97/$C$17)))^2)</f>
        <v>1.345179244574965</v>
      </c>
      <c r="L106" s="98">
        <f>K106*$M$17*$B96/$B$7/$B$7/$B97/$B97</f>
        <v>0.13297950854533186</v>
      </c>
      <c r="M106" s="99">
        <f>$N$17*$B96/$B$7/$B97</f>
        <v>0.013054684109469392</v>
      </c>
      <c r="N106" s="100"/>
      <c r="O106" s="95">
        <f>FugacityZ(N101,6,J101:J107,L101:L107,M101:M107,$E$12:$K$18)</f>
        <v>0.8915264655121089</v>
      </c>
    </row>
    <row r="107" spans="1:15" ht="15" customHeight="1" thickBot="1">
      <c r="A107" s="31" t="str">
        <f t="shared" si="26"/>
        <v>n-Pentano</v>
      </c>
      <c r="B107" s="81">
        <f>I107/$I108</f>
        <v>0.15633127720312123</v>
      </c>
      <c r="C107" s="39">
        <f>((1+$L$18*(1-SQRT($B97/$C$18)))^2)</f>
        <v>1.377451145867071</v>
      </c>
      <c r="D107" s="50">
        <f>C107*$M$18*$B96/$B$7/$B$7/$B97/$B97</f>
        <v>0.14217064534501664</v>
      </c>
      <c r="E107" s="51">
        <f>$N$18*$B96/$B$7/$B97</f>
        <v>0.013360988326382743</v>
      </c>
      <c r="F107" s="36"/>
      <c r="G107" s="37">
        <f>FugacityZ(F101,7,B101:B107,D101:D107,E101:E107,$E$12:$K$18)</f>
        <v>0.2269575650016988</v>
      </c>
      <c r="H107" s="20">
        <f t="shared" si="27"/>
        <v>0.25586690466315304</v>
      </c>
      <c r="I107" s="4">
        <f t="shared" si="28"/>
        <v>0.15633127720312134</v>
      </c>
      <c r="J107" s="101">
        <f t="shared" si="29"/>
        <v>0.04</v>
      </c>
      <c r="K107" s="102">
        <f>((1+$L$18*(1-SQRT($B97/$C$18)))^2)</f>
        <v>1.377451145867071</v>
      </c>
      <c r="L107" s="103">
        <f>K107*$M$18*$B96/$B$7/$B$7/$B97/$B97</f>
        <v>0.14217064534501664</v>
      </c>
      <c r="M107" s="104">
        <f>$N$18*$B96/$B$7/$B97</f>
        <v>0.013360988326382743</v>
      </c>
      <c r="N107" s="100"/>
      <c r="O107" s="95">
        <f>FugacityZ(N101,7,J101:J107,L101:L107,M101:M107,$E$12:$K$18)</f>
        <v>0.8870141520619058</v>
      </c>
    </row>
    <row r="108" spans="1:15" ht="15" customHeight="1" thickBot="1">
      <c r="A108" s="19" t="s">
        <v>4</v>
      </c>
      <c r="B108" s="39">
        <f>SUM(B101:B107)</f>
        <v>0.9999999999999999</v>
      </c>
      <c r="C108" s="40"/>
      <c r="D108" s="39">
        <f>amixture(B101:B107,D101:D107,$E$12:$K$18)</f>
        <v>0.10580512163367178</v>
      </c>
      <c r="E108" s="41">
        <f>bmixture(B101:B107,E101:E107)</f>
        <v>0.011572301171388142</v>
      </c>
      <c r="F108" s="42"/>
      <c r="G108" s="42"/>
      <c r="H108" s="28"/>
      <c r="I108" s="30">
        <f>SUM(I101:I107)</f>
        <v>1.0000000000000007</v>
      </c>
      <c r="J108" s="102">
        <f>SUM(J101:J107)</f>
        <v>1</v>
      </c>
      <c r="K108" s="105"/>
      <c r="L108" s="102">
        <f>amixture(J101:J107,L101:L107,$E$12:$K$18)</f>
        <v>0.07169527199452158</v>
      </c>
      <c r="M108" s="106">
        <f>bmixture(J101:J107,M101:M107)</f>
        <v>0.009469021653976822</v>
      </c>
      <c r="N108" s="107"/>
      <c r="O108" s="107"/>
    </row>
    <row r="109" ht="15" customHeight="1"/>
    <row r="110" spans="1:15" ht="15" customHeight="1">
      <c r="A110" s="3" t="s">
        <v>1</v>
      </c>
      <c r="B110" s="43">
        <f>B96</f>
        <v>331931.8925277364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5" customHeight="1">
      <c r="A111" s="3" t="s">
        <v>2</v>
      </c>
      <c r="B111" s="4">
        <f>B97</f>
        <v>300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5" customHeight="1" thickBot="1">
      <c r="A112" s="3"/>
      <c r="B112" s="3"/>
      <c r="C112" s="3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5" customHeight="1" thickBot="1">
      <c r="A113" s="3"/>
      <c r="B113" s="118" t="s">
        <v>16</v>
      </c>
      <c r="C113" s="119"/>
      <c r="D113" s="119"/>
      <c r="E113" s="119"/>
      <c r="F113" s="119"/>
      <c r="G113" s="120"/>
      <c r="H113" s="3"/>
      <c r="I113" s="3"/>
      <c r="J113" s="121" t="s">
        <v>17</v>
      </c>
      <c r="K113" s="122"/>
      <c r="L113" s="122"/>
      <c r="M113" s="122"/>
      <c r="N113" s="122"/>
      <c r="O113" s="123"/>
    </row>
    <row r="114" spans="1:15" ht="15" customHeight="1" thickBot="1">
      <c r="A114" s="19" t="s">
        <v>0</v>
      </c>
      <c r="B114" s="32" t="s">
        <v>37</v>
      </c>
      <c r="C114" s="33" t="s">
        <v>23</v>
      </c>
      <c r="D114" s="32" t="s">
        <v>14</v>
      </c>
      <c r="E114" s="34" t="s">
        <v>15</v>
      </c>
      <c r="F114" s="35" t="s">
        <v>20</v>
      </c>
      <c r="G114" s="85" t="s">
        <v>19</v>
      </c>
      <c r="H114" s="28" t="s">
        <v>26</v>
      </c>
      <c r="I114" s="30" t="s">
        <v>38</v>
      </c>
      <c r="J114" s="87" t="s">
        <v>36</v>
      </c>
      <c r="K114" s="88" t="s">
        <v>48</v>
      </c>
      <c r="L114" s="87" t="s">
        <v>14</v>
      </c>
      <c r="M114" s="89" t="s">
        <v>15</v>
      </c>
      <c r="N114" s="90" t="s">
        <v>21</v>
      </c>
      <c r="O114" s="91" t="s">
        <v>19</v>
      </c>
    </row>
    <row r="115" spans="1:15" ht="15" customHeight="1">
      <c r="A115" s="31" t="str">
        <f aca="true" t="shared" si="30" ref="A115:A121">A101</f>
        <v>Metano</v>
      </c>
      <c r="B115" s="44">
        <f>I115/$I122</f>
        <v>0.0008229138137823487</v>
      </c>
      <c r="C115" s="32">
        <f>((1+$L$12*(1-SQRT($B111/$C$12)))^2)</f>
        <v>0.7623371020943167</v>
      </c>
      <c r="D115" s="46">
        <f>C115*$M$12*$B110/$B$7/$B$7/$B111/$B111</f>
        <v>0.009490473446689338</v>
      </c>
      <c r="E115" s="47">
        <f>$N$12*$B110/$B$7/$B111</f>
        <v>0.003972147580969278</v>
      </c>
      <c r="F115" s="37">
        <f>SolLiquidaz(B115:B121,D115:D121,E115:E121,$E$12:$K$18)</f>
        <v>0.015537656493858132</v>
      </c>
      <c r="G115" s="37">
        <f>FugacityZ(F115,1,B115:B121,D115:D121,E115:E121,$E$12:$K$18)</f>
        <v>49.96824882400203</v>
      </c>
      <c r="H115" s="20">
        <f>G101/O101</f>
        <v>48.60776344991528</v>
      </c>
      <c r="I115" s="4">
        <f>J115/H115</f>
        <v>0.0008229138137823479</v>
      </c>
      <c r="J115" s="92">
        <f>J101</f>
        <v>0.04</v>
      </c>
      <c r="K115" s="87">
        <f>((1+$L$12*(1-SQRT($B111/$C$12)))^2)</f>
        <v>0.7623371020943167</v>
      </c>
      <c r="L115" s="93">
        <f>K115*$M$12*$B110/$B$7/$B$7/$B111/$B111</f>
        <v>0.009490473446689338</v>
      </c>
      <c r="M115" s="94">
        <f>$N$12*$B110/$B$7/$B111</f>
        <v>0.003972147580969278</v>
      </c>
      <c r="N115" s="95">
        <f>SolVaporz(J115:J121,L115:L121,M115:M121,$E$12:$K$18)</f>
        <v>0.9342695694230936</v>
      </c>
      <c r="O115" s="95">
        <f>FugacityZ(N115,1,J115:J121,L115:L121,M115:M121,$E$12:$K$18)</f>
        <v>1.027989055131691</v>
      </c>
    </row>
    <row r="116" spans="1:15" ht="15" customHeight="1">
      <c r="A116" s="31" t="str">
        <f t="shared" si="30"/>
        <v>Etano</v>
      </c>
      <c r="B116" s="45">
        <f>I116/$I122</f>
        <v>0.017662625766163575</v>
      </c>
      <c r="C116" s="38">
        <f>((1+$L$13*(1-SQRT($B111/$C$13)))^2)</f>
        <v>1.0111414055455135</v>
      </c>
      <c r="D116" s="86">
        <f>C116*$M$13*$B110/$B$7/$B$7/$B111/$B111</f>
        <v>0.03050265433741797</v>
      </c>
      <c r="E116" s="49">
        <f>$N$13*$B110/$B$7/$B111</f>
        <v>0.006007529323421193</v>
      </c>
      <c r="F116" s="37"/>
      <c r="G116" s="37">
        <f>FugacityZ(F115,2,B115:B121,D115:D121,E115:E121,$E$12:$K$18)</f>
        <v>8.924552913926131</v>
      </c>
      <c r="H116" s="20">
        <f aca="true" t="shared" si="31" ref="H116:H121">G102/O102</f>
        <v>9.058675766460125</v>
      </c>
      <c r="I116" s="4">
        <f aca="true" t="shared" si="32" ref="I116:I121">J116/H116</f>
        <v>0.017662625766163557</v>
      </c>
      <c r="J116" s="96">
        <f aca="true" t="shared" si="33" ref="J116:J121">J102</f>
        <v>0.16</v>
      </c>
      <c r="K116" s="97">
        <f>((1+$L$13*(1-SQRT($B111/$C$13)))^2)</f>
        <v>1.0111414055455135</v>
      </c>
      <c r="L116" s="98">
        <f>K116*$M$13*$B110/$B$7/$B$7/$B111/$B111</f>
        <v>0.03050265433741797</v>
      </c>
      <c r="M116" s="99">
        <f>$N$13*$B110/$B$7/$B111</f>
        <v>0.006007529323421193</v>
      </c>
      <c r="N116" s="95"/>
      <c r="O116" s="95">
        <f>FugacityZ(N115,2,J115:J121,L115:L121,M115:M121,$E$12:$K$18)</f>
        <v>0.9851939890233411</v>
      </c>
    </row>
    <row r="117" spans="1:15" ht="15" customHeight="1">
      <c r="A117" s="31" t="str">
        <f t="shared" si="30"/>
        <v>Propano</v>
      </c>
      <c r="B117" s="45">
        <f>I117/$I122</f>
        <v>0.08680497376624836</v>
      </c>
      <c r="C117" s="38">
        <f>((1+$L$14*(1-SQRT($B111/$C$14)))^2)</f>
        <v>1.1472378704964072</v>
      </c>
      <c r="D117" s="48">
        <f>C117*$M$14*$B110/$B$7/$B$7/$B111/$B111</f>
        <v>0.05823656519261661</v>
      </c>
      <c r="E117" s="49">
        <f>$N$14*$B110/$B$7/$B111</f>
        <v>0.008345753527191524</v>
      </c>
      <c r="F117" s="37"/>
      <c r="G117" s="37">
        <f>FugacityZ(F115,3,B115:B121,D115:D121,E115:E121,$E$12:$K$18)</f>
        <v>2.6294438367057906</v>
      </c>
      <c r="H117" s="20">
        <f t="shared" si="31"/>
        <v>2.7648185304021986</v>
      </c>
      <c r="I117" s="4">
        <f t="shared" si="32"/>
        <v>0.08680497376624828</v>
      </c>
      <c r="J117" s="96">
        <f t="shared" si="33"/>
        <v>0.24</v>
      </c>
      <c r="K117" s="97">
        <f>((1+$L$14*(1-SQRT($B111/$C$14)))^2)</f>
        <v>1.1472378704964072</v>
      </c>
      <c r="L117" s="98">
        <f>K117*$M$14*$B110/$B$7/$B$7/$B111/$B111</f>
        <v>0.05823656519261661</v>
      </c>
      <c r="M117" s="99">
        <f>$N$14*$B110/$B$7/$B111</f>
        <v>0.008345753527191524</v>
      </c>
      <c r="N117" s="95"/>
      <c r="O117" s="95">
        <f>FugacityZ(N115,3,J115:J121,L115:L121,M115:M121,$E$12:$K$18)</f>
        <v>0.9510366801910681</v>
      </c>
    </row>
    <row r="118" spans="1:15" ht="15" customHeight="1">
      <c r="A118" s="31" t="str">
        <f t="shared" si="30"/>
        <v>i-Butano</v>
      </c>
      <c r="B118" s="45">
        <f>I118/$I122</f>
        <v>0.2544905520259886</v>
      </c>
      <c r="C118" s="38">
        <f>((1+$L$15*(1-SQRT($B111/$C$15)))^2)</f>
        <v>1.2282030306524951</v>
      </c>
      <c r="D118" s="48">
        <f>C118*$M$15*$B110/$B$7/$B$7/$B111/$B111</f>
        <v>0.08842115141466385</v>
      </c>
      <c r="E118" s="49">
        <f>$N$15*$B110/$B$7/$B111</f>
        <v>0.010725122362267211</v>
      </c>
      <c r="F118" s="37"/>
      <c r="G118" s="37">
        <f>FugacityZ(F115,4,B115:B121,D115:D121,E115:E121,$E$12:$K$18)</f>
        <v>1.0158200415227383</v>
      </c>
      <c r="H118" s="20">
        <f t="shared" si="31"/>
        <v>1.100237308500972</v>
      </c>
      <c r="I118" s="4">
        <f t="shared" si="32"/>
        <v>0.25449055202598836</v>
      </c>
      <c r="J118" s="96">
        <f t="shared" si="33"/>
        <v>0.28</v>
      </c>
      <c r="K118" s="97">
        <f>((1+$L$15*(1-SQRT($B111/$C$15)))^2)</f>
        <v>1.2282030306524951</v>
      </c>
      <c r="L118" s="98">
        <f>K118*$M$15*$B110/$B$7/$B$7/$B111/$B111</f>
        <v>0.08842115141466385</v>
      </c>
      <c r="M118" s="99">
        <f>$N$15*$B110/$B$7/$B111</f>
        <v>0.010725122362267211</v>
      </c>
      <c r="N118" s="95"/>
      <c r="O118" s="95">
        <f>FugacityZ(N115,4,J115:J121,L115:L121,M115:M121,$E$12:$K$18)</f>
        <v>0.923273582582732</v>
      </c>
    </row>
    <row r="119" spans="1:15" ht="15" customHeight="1">
      <c r="A119" s="31" t="str">
        <f t="shared" si="30"/>
        <v>n-Butano</v>
      </c>
      <c r="B119" s="45">
        <f>I119/$I122</f>
        <v>0.1710769124074675</v>
      </c>
      <c r="C119" s="38">
        <f>((1+$L$16*(1-SQRT($B111/$C$16)))^2)</f>
        <v>1.2679685906857454</v>
      </c>
      <c r="D119" s="48">
        <f>C119*$M$16*$B110/$B$7/$B$7/$B111/$B111</f>
        <v>0.0951760938074697</v>
      </c>
      <c r="E119" s="49">
        <f>$N$16*$B110/$B$7/$B111</f>
        <v>0.010735771478768747</v>
      </c>
      <c r="F119" s="37"/>
      <c r="G119" s="37">
        <f>FugacityZ(F115,5,B115:B121,D115:D121,E115:E121,$E$12:$K$18)</f>
        <v>0.751418067606285</v>
      </c>
      <c r="H119" s="20">
        <f t="shared" si="31"/>
        <v>0.818345374778281</v>
      </c>
      <c r="I119" s="4">
        <f t="shared" si="32"/>
        <v>0.17107691240746736</v>
      </c>
      <c r="J119" s="96">
        <f t="shared" si="33"/>
        <v>0.14</v>
      </c>
      <c r="K119" s="97">
        <f>((1+$L$16*(1-SQRT($B111/$C$16)))^2)</f>
        <v>1.2679685906857454</v>
      </c>
      <c r="L119" s="98">
        <f>K119*$M$16*$B110/$B$7/$B$7/$B111/$B111</f>
        <v>0.0951760938074697</v>
      </c>
      <c r="M119" s="99">
        <f>$N$16*$B110/$B$7/$B111</f>
        <v>0.010735771478768747</v>
      </c>
      <c r="N119" s="95"/>
      <c r="O119" s="95">
        <f>FugacityZ(N115,5,J115:J121,L115:L121,M115:M121,$E$12:$K$18)</f>
        <v>0.9182163066082452</v>
      </c>
    </row>
    <row r="120" spans="1:15" ht="15" customHeight="1">
      <c r="A120" s="31" t="str">
        <f t="shared" si="30"/>
        <v>i-Pentano</v>
      </c>
      <c r="B120" s="45">
        <f>I120/$I122</f>
        <v>0.31281074468742964</v>
      </c>
      <c r="C120" s="38">
        <f>((1+$L$17*(1-SQRT($B111/$C$17)))^2)</f>
        <v>1.345179244574965</v>
      </c>
      <c r="D120" s="48">
        <f>C120*$M$17*$B110/$B$7/$B$7/$B111/$B111</f>
        <v>0.13297950854533186</v>
      </c>
      <c r="E120" s="49">
        <f>$N$17*$B110/$B$7/$B111</f>
        <v>0.013054684109469392</v>
      </c>
      <c r="F120" s="36"/>
      <c r="G120" s="37">
        <f>FugacityZ(F115,6,B115:B121,D115:D121,E115:E121,$E$12:$K$18)</f>
        <v>0.285005064766403</v>
      </c>
      <c r="H120" s="20">
        <f t="shared" si="31"/>
        <v>0.3196821135409631</v>
      </c>
      <c r="I120" s="4">
        <f t="shared" si="32"/>
        <v>0.31281074468742937</v>
      </c>
      <c r="J120" s="96">
        <f t="shared" si="33"/>
        <v>0.1</v>
      </c>
      <c r="K120" s="97">
        <f>((1+$L$17*(1-SQRT($B111/$C$17)))^2)</f>
        <v>1.345179244574965</v>
      </c>
      <c r="L120" s="98">
        <f>K120*$M$17*$B110/$B$7/$B$7/$B111/$B111</f>
        <v>0.13297950854533186</v>
      </c>
      <c r="M120" s="99">
        <f>$N$17*$B110/$B$7/$B111</f>
        <v>0.013054684109469392</v>
      </c>
      <c r="N120" s="100"/>
      <c r="O120" s="95">
        <f>FugacityZ(N115,6,J115:J121,L115:L121,M115:M121,$E$12:$K$18)</f>
        <v>0.8915264655121089</v>
      </c>
    </row>
    <row r="121" spans="1:15" ht="15" customHeight="1" thickBot="1">
      <c r="A121" s="31" t="str">
        <f t="shared" si="30"/>
        <v>n-Pentano</v>
      </c>
      <c r="B121" s="81">
        <f>I121/$I122</f>
        <v>0.15633127753291984</v>
      </c>
      <c r="C121" s="39">
        <f>((1+$L$18*(1-SQRT($B111/$C$18)))^2)</f>
        <v>1.377451145867071</v>
      </c>
      <c r="D121" s="50">
        <f>C121*$M$18*$B110/$B$7/$B$7/$B111/$B111</f>
        <v>0.14217064534501664</v>
      </c>
      <c r="E121" s="51">
        <f>$N$18*$B110/$B$7/$B111</f>
        <v>0.013360988326382743</v>
      </c>
      <c r="F121" s="36"/>
      <c r="G121" s="37">
        <f>FugacityZ(F115,7,B115:B121,D115:D121,E115:E121,$E$12:$K$18)</f>
        <v>0.22695756498006817</v>
      </c>
      <c r="H121" s="20">
        <f t="shared" si="31"/>
        <v>0.25586690412337315</v>
      </c>
      <c r="I121" s="4">
        <f t="shared" si="32"/>
        <v>0.1563312775329197</v>
      </c>
      <c r="J121" s="101">
        <f t="shared" si="33"/>
        <v>0.04</v>
      </c>
      <c r="K121" s="102">
        <f>((1+$L$18*(1-SQRT($B111/$C$18)))^2)</f>
        <v>1.377451145867071</v>
      </c>
      <c r="L121" s="103">
        <f>K121*$M$18*$B110/$B$7/$B$7/$B111/$B111</f>
        <v>0.14217064534501664</v>
      </c>
      <c r="M121" s="104">
        <f>$N$18*$B110/$B$7/$B111</f>
        <v>0.013360988326382743</v>
      </c>
      <c r="N121" s="100"/>
      <c r="O121" s="95">
        <f>FugacityZ(N115,7,J115:J121,L115:L121,M115:M121,$E$12:$K$18)</f>
        <v>0.8870141520619058</v>
      </c>
    </row>
    <row r="122" spans="1:15" ht="15" customHeight="1" thickBot="1">
      <c r="A122" s="19" t="s">
        <v>4</v>
      </c>
      <c r="B122" s="39">
        <f>SUM(B115:B121)</f>
        <v>0.9999999999999999</v>
      </c>
      <c r="C122" s="40"/>
      <c r="D122" s="39">
        <f>amixture(B115:B121,D115:D121,$E$12:$K$18)</f>
        <v>0.10580512165919764</v>
      </c>
      <c r="E122" s="41">
        <f>bmixture(B115:B121,E115:E121)</f>
        <v>0.011572301172848722</v>
      </c>
      <c r="F122" s="42"/>
      <c r="G122" s="42"/>
      <c r="H122" s="28"/>
      <c r="I122" s="30">
        <f>SUM(I115:I121)</f>
        <v>0.9999999999999991</v>
      </c>
      <c r="J122" s="102">
        <f>SUM(J115:J121)</f>
        <v>1</v>
      </c>
      <c r="K122" s="105"/>
      <c r="L122" s="102">
        <f>amixture(J115:J121,L115:L121,$E$12:$K$18)</f>
        <v>0.07169527199452158</v>
      </c>
      <c r="M122" s="106">
        <f>bmixture(J115:J121,M115:M121)</f>
        <v>0.009469021653976822</v>
      </c>
      <c r="N122" s="107"/>
      <c r="O122" s="107"/>
    </row>
    <row r="123" ht="15" customHeight="1"/>
    <row r="124" spans="1:15" ht="15" customHeight="1">
      <c r="A124" s="3" t="s">
        <v>1</v>
      </c>
      <c r="B124" s="43">
        <f>B110</f>
        <v>331931.8925277364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5" customHeight="1">
      <c r="A125" s="3" t="s">
        <v>2</v>
      </c>
      <c r="B125" s="4">
        <f>B111</f>
        <v>300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5" customHeight="1" thickBot="1">
      <c r="A126" s="3"/>
      <c r="B126" s="3"/>
      <c r="C126" s="3"/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5" customHeight="1" thickBot="1">
      <c r="A127" s="3"/>
      <c r="B127" s="118" t="s">
        <v>16</v>
      </c>
      <c r="C127" s="119"/>
      <c r="D127" s="119"/>
      <c r="E127" s="119"/>
      <c r="F127" s="119"/>
      <c r="G127" s="120"/>
      <c r="H127" s="3"/>
      <c r="I127" s="3"/>
      <c r="J127" s="121" t="s">
        <v>17</v>
      </c>
      <c r="K127" s="122"/>
      <c r="L127" s="122"/>
      <c r="M127" s="122"/>
      <c r="N127" s="122"/>
      <c r="O127" s="123"/>
    </row>
    <row r="128" spans="1:15" ht="15" customHeight="1" thickBot="1">
      <c r="A128" s="19" t="s">
        <v>0</v>
      </c>
      <c r="B128" s="32" t="s">
        <v>37</v>
      </c>
      <c r="C128" s="33" t="s">
        <v>23</v>
      </c>
      <c r="D128" s="32" t="s">
        <v>14</v>
      </c>
      <c r="E128" s="34" t="s">
        <v>15</v>
      </c>
      <c r="F128" s="35" t="s">
        <v>20</v>
      </c>
      <c r="G128" s="85" t="s">
        <v>19</v>
      </c>
      <c r="H128" s="28" t="s">
        <v>26</v>
      </c>
      <c r="I128" s="30" t="s">
        <v>38</v>
      </c>
      <c r="J128" s="87" t="s">
        <v>36</v>
      </c>
      <c r="K128" s="88" t="s">
        <v>48</v>
      </c>
      <c r="L128" s="87" t="s">
        <v>14</v>
      </c>
      <c r="M128" s="89" t="s">
        <v>15</v>
      </c>
      <c r="N128" s="90" t="s">
        <v>21</v>
      </c>
      <c r="O128" s="91" t="s">
        <v>19</v>
      </c>
    </row>
    <row r="129" spans="1:15" ht="15" customHeight="1">
      <c r="A129" s="31" t="str">
        <f aca="true" t="shared" si="34" ref="A129:A135">A115</f>
        <v>Metano</v>
      </c>
      <c r="B129" s="44">
        <f>I129/$I136</f>
        <v>0.0008229138137319734</v>
      </c>
      <c r="C129" s="32">
        <f>((1+$L$12*(1-SQRT($B125/$C$12)))^2)</f>
        <v>0.7623371020943167</v>
      </c>
      <c r="D129" s="46">
        <f>C129*$M$12*$B124/$B$7/$B$7/$B125/$B125</f>
        <v>0.009490473446689338</v>
      </c>
      <c r="E129" s="47">
        <f>$N$12*$B124/$B$7/$B125</f>
        <v>0.003972147580969278</v>
      </c>
      <c r="F129" s="37">
        <f>SolLiquidaz(B129:B135,D129:D135,E129:E135,$E$12:$K$18)</f>
        <v>0.01553765649392086</v>
      </c>
      <c r="G129" s="37">
        <f>FugacityZ(F129,1,B129:B135,D129:D135,E129:E135,$E$12:$K$18)</f>
        <v>49.96824882415078</v>
      </c>
      <c r="H129" s="20">
        <f>G115/O115</f>
        <v>48.60776345289087</v>
      </c>
      <c r="I129" s="4">
        <f>J129/H129</f>
        <v>0.0008229138137319721</v>
      </c>
      <c r="J129" s="92">
        <f>J115</f>
        <v>0.04</v>
      </c>
      <c r="K129" s="87">
        <f>((1+$L$12*(1-SQRT($B125/$C$12)))^2)</f>
        <v>0.7623371020943167</v>
      </c>
      <c r="L129" s="93">
        <f>K129*$M$12*$B124/$B$7/$B$7/$B125/$B125</f>
        <v>0.009490473446689338</v>
      </c>
      <c r="M129" s="94">
        <f>$N$12*$B124/$B$7/$B125</f>
        <v>0.003972147580969278</v>
      </c>
      <c r="N129" s="95">
        <f>SolVaporz(J129:J135,L129:L135,M129:M135,$E$12:$K$18)</f>
        <v>0.9342695694230936</v>
      </c>
      <c r="O129" s="95">
        <f>FugacityZ(N129,1,J129:J135,L129:L135,M129:M135,$E$12:$K$18)</f>
        <v>1.027989055131691</v>
      </c>
    </row>
    <row r="130" spans="1:15" ht="15" customHeight="1">
      <c r="A130" s="31" t="str">
        <f t="shared" si="34"/>
        <v>Etano</v>
      </c>
      <c r="B130" s="45">
        <f>I130/$I136</f>
        <v>0.017662625765573398</v>
      </c>
      <c r="C130" s="38">
        <f>((1+$L$13*(1-SQRT($B125/$C$13)))^2)</f>
        <v>1.0111414055455135</v>
      </c>
      <c r="D130" s="86">
        <f>C130*$M$13*$B124/$B$7/$B$7/$B125/$B125</f>
        <v>0.03050265433741797</v>
      </c>
      <c r="E130" s="49">
        <f>$N$13*$B124/$B$7/$B125</f>
        <v>0.006007529323421193</v>
      </c>
      <c r="F130" s="37"/>
      <c r="G130" s="37">
        <f>FugacityZ(F129,2,B129:B135,D129:D135,E129:E135,$E$12:$K$18)</f>
        <v>8.924552913940193</v>
      </c>
      <c r="H130" s="20">
        <f aca="true" t="shared" si="35" ref="H130:H135">G116/O116</f>
        <v>9.058675766762816</v>
      </c>
      <c r="I130" s="4">
        <f aca="true" t="shared" si="36" ref="I130:I135">J130/H130</f>
        <v>0.01766262576557337</v>
      </c>
      <c r="J130" s="96">
        <f aca="true" t="shared" si="37" ref="J130:J135">J116</f>
        <v>0.16</v>
      </c>
      <c r="K130" s="97">
        <f>((1+$L$13*(1-SQRT($B125/$C$13)))^2)</f>
        <v>1.0111414055455135</v>
      </c>
      <c r="L130" s="98">
        <f>K130*$M$13*$B124/$B$7/$B$7/$B125/$B125</f>
        <v>0.03050265433741797</v>
      </c>
      <c r="M130" s="99">
        <f>$N$13*$B124/$B$7/$B125</f>
        <v>0.006007529323421193</v>
      </c>
      <c r="N130" s="95"/>
      <c r="O130" s="95">
        <f>FugacityZ(N129,2,J129:J135,L129:L135,M129:M135,$E$12:$K$18)</f>
        <v>0.9851939890233411</v>
      </c>
    </row>
    <row r="131" spans="1:15" ht="15" customHeight="1">
      <c r="A131" s="31" t="str">
        <f t="shared" si="34"/>
        <v>Propano</v>
      </c>
      <c r="B131" s="45">
        <f>I131/$I136</f>
        <v>0.08680497375894154</v>
      </c>
      <c r="C131" s="38">
        <f>((1+$L$14*(1-SQRT($B125/$C$14)))^2)</f>
        <v>1.1472378704964072</v>
      </c>
      <c r="D131" s="48">
        <f>C131*$M$14*$B124/$B$7/$B$7/$B125/$B125</f>
        <v>0.05823656519261661</v>
      </c>
      <c r="E131" s="49">
        <f>$N$14*$B124/$B$7/$B125</f>
        <v>0.008345753527191524</v>
      </c>
      <c r="F131" s="37"/>
      <c r="G131" s="37">
        <f>FugacityZ(F129,3,B129:B135,D129:D135,E129:E135,$E$12:$K$18)</f>
        <v>2.629443836716328</v>
      </c>
      <c r="H131" s="20">
        <f t="shared" si="35"/>
        <v>2.7648185306349298</v>
      </c>
      <c r="I131" s="4">
        <f t="shared" si="36"/>
        <v>0.0868049737589414</v>
      </c>
      <c r="J131" s="96">
        <f t="shared" si="37"/>
        <v>0.24</v>
      </c>
      <c r="K131" s="97">
        <f>((1+$L$14*(1-SQRT($B125/$C$14)))^2)</f>
        <v>1.1472378704964072</v>
      </c>
      <c r="L131" s="98">
        <f>K131*$M$14*$B124/$B$7/$B$7/$B125/$B125</f>
        <v>0.05823656519261661</v>
      </c>
      <c r="M131" s="99">
        <f>$N$14*$B124/$B$7/$B125</f>
        <v>0.008345753527191524</v>
      </c>
      <c r="N131" s="95"/>
      <c r="O131" s="95">
        <f>FugacityZ(N129,3,J129:J135,L129:L135,M129:M135,$E$12:$K$18)</f>
        <v>0.9510366801910681</v>
      </c>
    </row>
    <row r="132" spans="1:15" ht="15" customHeight="1">
      <c r="A132" s="31" t="str">
        <f t="shared" si="34"/>
        <v>i-Butano</v>
      </c>
      <c r="B132" s="45">
        <f>I132/$I136</f>
        <v>0.2544905520230166</v>
      </c>
      <c r="C132" s="38">
        <f>((1+$L$15*(1-SQRT($B125/$C$15)))^2)</f>
        <v>1.2282030306524951</v>
      </c>
      <c r="D132" s="48">
        <f>C132*$M$15*$B124/$B$7/$B$7/$B125/$B125</f>
        <v>0.08842115141466385</v>
      </c>
      <c r="E132" s="49">
        <f>$N$15*$B124/$B$7/$B125</f>
        <v>0.010725122362267211</v>
      </c>
      <c r="F132" s="37"/>
      <c r="G132" s="37">
        <f>FugacityZ(F129,4,B129:B135,D129:D135,E129:E135,$E$12:$K$18)</f>
        <v>1.0158200415235143</v>
      </c>
      <c r="H132" s="20">
        <f t="shared" si="35"/>
        <v>1.1002373085138213</v>
      </c>
      <c r="I132" s="4">
        <f t="shared" si="36"/>
        <v>0.25449055202301624</v>
      </c>
      <c r="J132" s="96">
        <f t="shared" si="37"/>
        <v>0.28</v>
      </c>
      <c r="K132" s="97">
        <f>((1+$L$15*(1-SQRT($B125/$C$15)))^2)</f>
        <v>1.2282030306524951</v>
      </c>
      <c r="L132" s="98">
        <f>K132*$M$15*$B124/$B$7/$B$7/$B125/$B125</f>
        <v>0.08842115141466385</v>
      </c>
      <c r="M132" s="99">
        <f>$N$15*$B124/$B$7/$B125</f>
        <v>0.010725122362267211</v>
      </c>
      <c r="N132" s="95"/>
      <c r="O132" s="95">
        <f>FugacityZ(N129,4,J129:J135,L129:L135,M129:M135,$E$12:$K$18)</f>
        <v>0.923273582582732</v>
      </c>
    </row>
    <row r="133" spans="1:15" ht="15" customHeight="1">
      <c r="A133" s="31" t="str">
        <f t="shared" si="34"/>
        <v>n-Butano</v>
      </c>
      <c r="B133" s="45">
        <f>I133/$I136</f>
        <v>0.17107691239666875</v>
      </c>
      <c r="C133" s="38">
        <f>((1+$L$16*(1-SQRT($B125/$C$16)))^2)</f>
        <v>1.2679685906857454</v>
      </c>
      <c r="D133" s="48">
        <f>C133*$M$16*$B124/$B$7/$B$7/$B125/$B125</f>
        <v>0.0951760938074697</v>
      </c>
      <c r="E133" s="49">
        <f>$N$16*$B124/$B$7/$B125</f>
        <v>0.010735771478768747</v>
      </c>
      <c r="F133" s="37"/>
      <c r="G133" s="37">
        <f>FugacityZ(F129,5,B129:B135,D129:D135,E129:E135,$E$12:$K$18)</f>
        <v>0.7514180676085</v>
      </c>
      <c r="H133" s="20">
        <f t="shared" si="35"/>
        <v>0.8183453748299373</v>
      </c>
      <c r="I133" s="4">
        <f t="shared" si="36"/>
        <v>0.17107691239666847</v>
      </c>
      <c r="J133" s="96">
        <f t="shared" si="37"/>
        <v>0.14</v>
      </c>
      <c r="K133" s="97">
        <f>((1+$L$16*(1-SQRT($B125/$C$16)))^2)</f>
        <v>1.2679685906857454</v>
      </c>
      <c r="L133" s="98">
        <f>K133*$M$16*$B124/$B$7/$B$7/$B125/$B125</f>
        <v>0.0951760938074697</v>
      </c>
      <c r="M133" s="99">
        <f>$N$16*$B124/$B$7/$B125</f>
        <v>0.010735771478768747</v>
      </c>
      <c r="N133" s="95"/>
      <c r="O133" s="95">
        <f>FugacityZ(N129,5,J129:J135,L129:L135,M129:M135,$E$12:$K$18)</f>
        <v>0.9182163066082452</v>
      </c>
    </row>
    <row r="134" spans="1:15" ht="15" customHeight="1">
      <c r="A134" s="31" t="str">
        <f t="shared" si="34"/>
        <v>i-Pentano</v>
      </c>
      <c r="B134" s="45">
        <f>I134/$I136</f>
        <v>0.3128107446942484</v>
      </c>
      <c r="C134" s="38">
        <f>((1+$L$17*(1-SQRT($B125/$C$17)))^2)</f>
        <v>1.345179244574965</v>
      </c>
      <c r="D134" s="48">
        <f>C134*$M$17*$B124/$B$7/$B$7/$B125/$B125</f>
        <v>0.13297950854533186</v>
      </c>
      <c r="E134" s="49">
        <f>$N$17*$B124/$B$7/$B125</f>
        <v>0.013054684109469392</v>
      </c>
      <c r="F134" s="36"/>
      <c r="G134" s="37">
        <f>FugacityZ(F129,6,B129:B135,D129:D135,E129:E135,$E$12:$K$18)</f>
        <v>0.28500506476612864</v>
      </c>
      <c r="H134" s="20">
        <f t="shared" si="35"/>
        <v>0.3196821135339947</v>
      </c>
      <c r="I134" s="4">
        <f t="shared" si="36"/>
        <v>0.3128107446942479</v>
      </c>
      <c r="J134" s="96">
        <f t="shared" si="37"/>
        <v>0.1</v>
      </c>
      <c r="K134" s="97">
        <f>((1+$L$17*(1-SQRT($B125/$C$17)))^2)</f>
        <v>1.345179244574965</v>
      </c>
      <c r="L134" s="98">
        <f>K134*$M$17*$B124/$B$7/$B$7/$B125/$B125</f>
        <v>0.13297950854533186</v>
      </c>
      <c r="M134" s="99">
        <f>$N$17*$B124/$B$7/$B125</f>
        <v>0.013054684109469392</v>
      </c>
      <c r="N134" s="100"/>
      <c r="O134" s="95">
        <f>FugacityZ(N129,6,J129:J135,L129:L135,M129:M135,$E$12:$K$18)</f>
        <v>0.8915264655121089</v>
      </c>
    </row>
    <row r="135" spans="1:15" ht="15" customHeight="1" thickBot="1">
      <c r="A135" s="31" t="str">
        <f t="shared" si="34"/>
        <v>n-Pentano</v>
      </c>
      <c r="B135" s="81">
        <f>I135/$I136</f>
        <v>0.1563312775478194</v>
      </c>
      <c r="C135" s="39">
        <f>((1+$L$18*(1-SQRT($B125/$C$18)))^2)</f>
        <v>1.377451145867071</v>
      </c>
      <c r="D135" s="50">
        <f>C135*$M$18*$B124/$B$7/$B$7/$B125/$B125</f>
        <v>0.14217064534501664</v>
      </c>
      <c r="E135" s="51">
        <f>$N$18*$B124/$B$7/$B125</f>
        <v>0.013360988326382743</v>
      </c>
      <c r="F135" s="36"/>
      <c r="G135" s="37">
        <f>FugacityZ(F129,7,B129:B135,D129:D135,E129:E135,$E$12:$K$18)</f>
        <v>0.22695756497893935</v>
      </c>
      <c r="H135" s="20">
        <f t="shared" si="35"/>
        <v>0.25586690409898727</v>
      </c>
      <c r="I135" s="4">
        <f t="shared" si="36"/>
        <v>0.15633127754781914</v>
      </c>
      <c r="J135" s="101">
        <f t="shared" si="37"/>
        <v>0.04</v>
      </c>
      <c r="K135" s="102">
        <f>((1+$L$18*(1-SQRT($B125/$C$18)))^2)</f>
        <v>1.377451145867071</v>
      </c>
      <c r="L135" s="103">
        <f>K135*$M$18*$B124/$B$7/$B$7/$B125/$B125</f>
        <v>0.14217064534501664</v>
      </c>
      <c r="M135" s="104">
        <f>$N$18*$B124/$B$7/$B125</f>
        <v>0.013360988326382743</v>
      </c>
      <c r="N135" s="100"/>
      <c r="O135" s="95">
        <f>FugacityZ(N129,7,J129:J135,L129:L135,M129:M135,$E$12:$K$18)</f>
        <v>0.8870141520619058</v>
      </c>
    </row>
    <row r="136" spans="1:15" ht="15" customHeight="1" thickBot="1">
      <c r="A136" s="19" t="s">
        <v>4</v>
      </c>
      <c r="B136" s="39">
        <f>SUM(B129:B135)</f>
        <v>1</v>
      </c>
      <c r="C136" s="40"/>
      <c r="D136" s="39">
        <f>amixture(B129:B135,D129:D135,$E$12:$K$18)</f>
        <v>0.10580512166050678</v>
      </c>
      <c r="E136" s="41">
        <f>bmixture(B129:B135,E129:E135)</f>
        <v>0.01157230117292428</v>
      </c>
      <c r="F136" s="42"/>
      <c r="G136" s="42"/>
      <c r="H136" s="28"/>
      <c r="I136" s="30">
        <f>SUM(I129:I135)</f>
        <v>0.9999999999999984</v>
      </c>
      <c r="J136" s="102">
        <f>SUM(J129:J135)</f>
        <v>1</v>
      </c>
      <c r="K136" s="105"/>
      <c r="L136" s="102">
        <f>amixture(J129:J135,L129:L135,$E$12:$K$18)</f>
        <v>0.07169527199452158</v>
      </c>
      <c r="M136" s="106">
        <f>bmixture(J129:J135,M129:M135)</f>
        <v>0.009469021653976822</v>
      </c>
      <c r="N136" s="107"/>
      <c r="O136" s="107"/>
    </row>
  </sheetData>
  <sheetProtection/>
  <mergeCells count="16">
    <mergeCell ref="B29:G29"/>
    <mergeCell ref="J29:O29"/>
    <mergeCell ref="B43:G43"/>
    <mergeCell ref="J43:O43"/>
    <mergeCell ref="B57:G57"/>
    <mergeCell ref="J57:O57"/>
    <mergeCell ref="B113:G113"/>
    <mergeCell ref="J113:O113"/>
    <mergeCell ref="B127:G127"/>
    <mergeCell ref="J127:O127"/>
    <mergeCell ref="B71:G71"/>
    <mergeCell ref="J71:O71"/>
    <mergeCell ref="B85:G85"/>
    <mergeCell ref="J85:O85"/>
    <mergeCell ref="B99:G99"/>
    <mergeCell ref="J99:O99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Jean-Marie LEDANOIS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Jean-Marie LEDANOIS</dc:creator>
  <cp:keywords/>
  <dc:description/>
  <cp:lastModifiedBy>Luffi</cp:lastModifiedBy>
  <cp:lastPrinted>2008-03-07T15:52:06Z</cp:lastPrinted>
  <dcterms:created xsi:type="dcterms:W3CDTF">2000-09-20T00:33:51Z</dcterms:created>
  <dcterms:modified xsi:type="dcterms:W3CDTF">2013-12-30T20:37:24Z</dcterms:modified>
  <cp:category/>
  <cp:version/>
  <cp:contentType/>
  <cp:contentStatus/>
</cp:coreProperties>
</file>